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ustomProperty2.bin" ContentType="application/vnd.openxmlformats-officedocument.spreadsheetml.customProperty"/>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ustomProperty3.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omments2.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ustomProperty7.bin" ContentType="application/vnd.openxmlformats-officedocument.spreadsheetml.customProperty"/>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ustomProperty8.bin" ContentType="application/vnd.openxmlformats-officedocument.spreadsheetml.customProperty"/>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Z:\02. Relación con el Inversionista\01. Resultados Trimestrales\2024\01. 4Q2023\07. Kit de valoración\"/>
    </mc:Choice>
  </mc:AlternateContent>
  <xr:revisionPtr revIDLastSave="0" documentId="13_ncr:1_{E604BB34-02A3-48AC-BA77-96D4A07E30A4}" xr6:coauthVersionLast="47" xr6:coauthVersionMax="47" xr10:uidLastSave="{00000000-0000-0000-0000-000000000000}"/>
  <bookViews>
    <workbookView xWindow="-110" yWindow="-110" windowWidth="19420" windowHeight="10420" tabRatio="866" xr2:uid="{00000000-000D-0000-FFFF-FFFF00000000}"/>
  </bookViews>
  <sheets>
    <sheet name="ESF GA Consol Q" sheetId="32" r:id="rId1"/>
    <sheet name="ER GA Consol Q" sheetId="33" r:id="rId2"/>
    <sheet name="ESF. GA separado Q" sheetId="344" state="hidden" r:id="rId3"/>
    <sheet name="ESF GA Separado Q " sheetId="376" r:id="rId4"/>
    <sheet name="ER GA separado Q" sheetId="378" r:id="rId5"/>
    <sheet name="INGRESOS" sheetId="181" state="hidden" r:id="rId6"/>
    <sheet name="EBITDA " sheetId="182" state="hidden" r:id="rId7"/>
    <sheet name="UTILIDAD NETA" sheetId="183" state="hidden" r:id="rId8"/>
    <sheet name="EFE GA separado" sheetId="387" r:id="rId9"/>
    <sheet name="EFE GA consolidado" sheetId="38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 localSheetId="6" hidden="1">{#N/A,#N/A,FALSE,"balance";#N/A,#N/A,FALSE,"PYG"}</definedName>
    <definedName name="__" localSheetId="4" hidden="1">{#N/A,#N/A,FALSE,"balance";#N/A,#N/A,FALSE,"PYG"}</definedName>
    <definedName name="__" localSheetId="3" hidden="1">{#N/A,#N/A,FALSE,"balance";#N/A,#N/A,FALSE,"PYG"}</definedName>
    <definedName name="__" localSheetId="2" hidden="1">{#N/A,#N/A,FALSE,"balance";#N/A,#N/A,FALSE,"PYG"}</definedName>
    <definedName name="__" localSheetId="5" hidden="1">{#N/A,#N/A,FALSE,"balance";#N/A,#N/A,FALSE,"PYG"}</definedName>
    <definedName name="__" localSheetId="7" hidden="1">{#N/A,#N/A,FALSE,"balance";#N/A,#N/A,FALSE,"PYG"}</definedName>
    <definedName name="__" hidden="1">{#N/A,#N/A,FALSE,"balance";#N/A,#N/A,FALSE,"PYG"}</definedName>
    <definedName name="______________________________________________GGF2" localSheetId="4" hidden="1">{#N/A,#N/A,FALSE,"balance";#N/A,#N/A,FALSE,"PYG"}</definedName>
    <definedName name="______________________________________________GGF2" localSheetId="3" hidden="1">{#N/A,#N/A,FALSE,"balance";#N/A,#N/A,FALSE,"PYG"}</definedName>
    <definedName name="______________________________________________GGF2" localSheetId="2" hidden="1">{#N/A,#N/A,FALSE,"balance";#N/A,#N/A,FALSE,"PYG"}</definedName>
    <definedName name="______________________________________________GGF2" hidden="1">{#N/A,#N/A,FALSE,"balance";#N/A,#N/A,FALSE,"PYG"}</definedName>
    <definedName name="______________________________________________OCT2" localSheetId="4" hidden="1">{#N/A,#N/A,FALSE,"BL&amp;GPA";#N/A,#N/A,FALSE,"Summary";#N/A,#N/A,FALSE,"hts"}</definedName>
    <definedName name="______________________________________________OCT2" localSheetId="3" hidden="1">{#N/A,#N/A,FALSE,"BL&amp;GPA";#N/A,#N/A,FALSE,"Summary";#N/A,#N/A,FALSE,"hts"}</definedName>
    <definedName name="______________________________________________OCT2" localSheetId="2" hidden="1">{#N/A,#N/A,FALSE,"BL&amp;GPA";#N/A,#N/A,FALSE,"Summary";#N/A,#N/A,FALSE,"hts"}</definedName>
    <definedName name="______________________________________________OCT2" hidden="1">{#N/A,#N/A,FALSE,"BL&amp;GPA";#N/A,#N/A,FALSE,"Summary";#N/A,#N/A,FALSE,"hts"}</definedName>
    <definedName name="______________________________________________ok1" localSheetId="4" hidden="1">{#N/A,#N/A,FALSE,"balance";#N/A,#N/A,FALSE,"PYG"}</definedName>
    <definedName name="______________________________________________ok1" localSheetId="3" hidden="1">{#N/A,#N/A,FALSE,"balance";#N/A,#N/A,FALSE,"PYG"}</definedName>
    <definedName name="______________________________________________ok1" localSheetId="2" hidden="1">{#N/A,#N/A,FALSE,"balance";#N/A,#N/A,FALSE,"PYG"}</definedName>
    <definedName name="______________________________________________ok1" hidden="1">{#N/A,#N/A,FALSE,"balance";#N/A,#N/A,FALSE,"PYG"}</definedName>
    <definedName name="______________________________________________Ok2" localSheetId="4" hidden="1">{#N/A,#N/A,FALSE,"balance";#N/A,#N/A,FALSE,"PYG"}</definedName>
    <definedName name="______________________________________________Ok2" localSheetId="3" hidden="1">{#N/A,#N/A,FALSE,"balance";#N/A,#N/A,FALSE,"PYG"}</definedName>
    <definedName name="______________________________________________Ok2" localSheetId="2" hidden="1">{#N/A,#N/A,FALSE,"balance";#N/A,#N/A,FALSE,"PYG"}</definedName>
    <definedName name="______________________________________________Ok2" hidden="1">{#N/A,#N/A,FALSE,"balance";#N/A,#N/A,FALSE,"PYG"}</definedName>
    <definedName name="______________________________________________PyG2" localSheetId="4" hidden="1">{#N/A,#N/A,FALSE,"balance";#N/A,#N/A,FALSE,"PYG"}</definedName>
    <definedName name="______________________________________________PyG2" localSheetId="3" hidden="1">{#N/A,#N/A,FALSE,"balance";#N/A,#N/A,FALSE,"PYG"}</definedName>
    <definedName name="______________________________________________PyG2" localSheetId="2" hidden="1">{#N/A,#N/A,FALSE,"balance";#N/A,#N/A,FALSE,"PYG"}</definedName>
    <definedName name="______________________________________________PyG2" hidden="1">{#N/A,#N/A,FALSE,"balance";#N/A,#N/A,FALSE,"PYG"}</definedName>
    <definedName name="______________________________________________PYG3" localSheetId="4" hidden="1">{#N/A,#N/A,FALSE,"balance";#N/A,#N/A,FALSE,"PYG"}</definedName>
    <definedName name="______________________________________________PYG3" localSheetId="3" hidden="1">{#N/A,#N/A,FALSE,"balance";#N/A,#N/A,FALSE,"PYG"}</definedName>
    <definedName name="______________________________________________PYG3" localSheetId="2" hidden="1">{#N/A,#N/A,FALSE,"balance";#N/A,#N/A,FALSE,"PYG"}</definedName>
    <definedName name="______________________________________________PYG3" hidden="1">{#N/A,#N/A,FALSE,"balance";#N/A,#N/A,FALSE,"PYG"}</definedName>
    <definedName name="______________________________________________PyG33" localSheetId="4" hidden="1">{#N/A,#N/A,FALSE,"balance";#N/A,#N/A,FALSE,"PYG"}</definedName>
    <definedName name="______________________________________________PyG33" localSheetId="3" hidden="1">{#N/A,#N/A,FALSE,"balance";#N/A,#N/A,FALSE,"PYG"}</definedName>
    <definedName name="______________________________________________PyG33" localSheetId="2" hidden="1">{#N/A,#N/A,FALSE,"balance";#N/A,#N/A,FALSE,"PYG"}</definedName>
    <definedName name="______________________________________________PyG33" hidden="1">{#N/A,#N/A,FALSE,"balance";#N/A,#N/A,FALSE,"PYG"}</definedName>
    <definedName name="_____________________________________________GGF2" localSheetId="4" hidden="1">{#N/A,#N/A,FALSE,"balance";#N/A,#N/A,FALSE,"PYG"}</definedName>
    <definedName name="_____________________________________________GGF2" localSheetId="3" hidden="1">{#N/A,#N/A,FALSE,"balance";#N/A,#N/A,FALSE,"PYG"}</definedName>
    <definedName name="_____________________________________________GGF2" localSheetId="2" hidden="1">{#N/A,#N/A,FALSE,"balance";#N/A,#N/A,FALSE,"PYG"}</definedName>
    <definedName name="_____________________________________________GGF2" hidden="1">{#N/A,#N/A,FALSE,"balance";#N/A,#N/A,FALSE,"PYG"}</definedName>
    <definedName name="_____________________________________________OCT2" localSheetId="4" hidden="1">{#N/A,#N/A,FALSE,"BL&amp;GPA";#N/A,#N/A,FALSE,"Summary";#N/A,#N/A,FALSE,"hts"}</definedName>
    <definedName name="_____________________________________________OCT2" localSheetId="3" hidden="1">{#N/A,#N/A,FALSE,"BL&amp;GPA";#N/A,#N/A,FALSE,"Summary";#N/A,#N/A,FALSE,"hts"}</definedName>
    <definedName name="_____________________________________________OCT2" localSheetId="2" hidden="1">{#N/A,#N/A,FALSE,"BL&amp;GPA";#N/A,#N/A,FALSE,"Summary";#N/A,#N/A,FALSE,"hts"}</definedName>
    <definedName name="_____________________________________________OCT2" hidden="1">{#N/A,#N/A,FALSE,"BL&amp;GPA";#N/A,#N/A,FALSE,"Summary";#N/A,#N/A,FALSE,"hts"}</definedName>
    <definedName name="_____________________________________________ok1" localSheetId="4" hidden="1">{#N/A,#N/A,FALSE,"balance";#N/A,#N/A,FALSE,"PYG"}</definedName>
    <definedName name="_____________________________________________ok1" localSheetId="3" hidden="1">{#N/A,#N/A,FALSE,"balance";#N/A,#N/A,FALSE,"PYG"}</definedName>
    <definedName name="_____________________________________________ok1" localSheetId="2" hidden="1">{#N/A,#N/A,FALSE,"balance";#N/A,#N/A,FALSE,"PYG"}</definedName>
    <definedName name="_____________________________________________ok1" hidden="1">{#N/A,#N/A,FALSE,"balance";#N/A,#N/A,FALSE,"PYG"}</definedName>
    <definedName name="_____________________________________________Ok2" localSheetId="4" hidden="1">{#N/A,#N/A,FALSE,"balance";#N/A,#N/A,FALSE,"PYG"}</definedName>
    <definedName name="_____________________________________________Ok2" localSheetId="3" hidden="1">{#N/A,#N/A,FALSE,"balance";#N/A,#N/A,FALSE,"PYG"}</definedName>
    <definedName name="_____________________________________________Ok2" localSheetId="2" hidden="1">{#N/A,#N/A,FALSE,"balance";#N/A,#N/A,FALSE,"PYG"}</definedName>
    <definedName name="_____________________________________________Ok2" hidden="1">{#N/A,#N/A,FALSE,"balance";#N/A,#N/A,FALSE,"PYG"}</definedName>
    <definedName name="_____________________________________________PyG2" localSheetId="4" hidden="1">{#N/A,#N/A,FALSE,"balance";#N/A,#N/A,FALSE,"PYG"}</definedName>
    <definedName name="_____________________________________________PyG2" localSheetId="3" hidden="1">{#N/A,#N/A,FALSE,"balance";#N/A,#N/A,FALSE,"PYG"}</definedName>
    <definedName name="_____________________________________________PyG2" localSheetId="2" hidden="1">{#N/A,#N/A,FALSE,"balance";#N/A,#N/A,FALSE,"PYG"}</definedName>
    <definedName name="_____________________________________________PyG2" hidden="1">{#N/A,#N/A,FALSE,"balance";#N/A,#N/A,FALSE,"PYG"}</definedName>
    <definedName name="_____________________________________________PYG3" localSheetId="4" hidden="1">{#N/A,#N/A,FALSE,"balance";#N/A,#N/A,FALSE,"PYG"}</definedName>
    <definedName name="_____________________________________________PYG3" localSheetId="3" hidden="1">{#N/A,#N/A,FALSE,"balance";#N/A,#N/A,FALSE,"PYG"}</definedName>
    <definedName name="_____________________________________________PYG3" localSheetId="2" hidden="1">{#N/A,#N/A,FALSE,"balance";#N/A,#N/A,FALSE,"PYG"}</definedName>
    <definedName name="_____________________________________________PYG3" hidden="1">{#N/A,#N/A,FALSE,"balance";#N/A,#N/A,FALSE,"PYG"}</definedName>
    <definedName name="_____________________________________________PyG33" localSheetId="4" hidden="1">{#N/A,#N/A,FALSE,"balance";#N/A,#N/A,FALSE,"PYG"}</definedName>
    <definedName name="_____________________________________________PyG33" localSheetId="3" hidden="1">{#N/A,#N/A,FALSE,"balance";#N/A,#N/A,FALSE,"PYG"}</definedName>
    <definedName name="_____________________________________________PyG33" localSheetId="2" hidden="1">{#N/A,#N/A,FALSE,"balance";#N/A,#N/A,FALSE,"PYG"}</definedName>
    <definedName name="_____________________________________________PyG33" hidden="1">{#N/A,#N/A,FALSE,"balance";#N/A,#N/A,FALSE,"PYG"}</definedName>
    <definedName name="____________________________________________GGF2" localSheetId="4" hidden="1">{#N/A,#N/A,FALSE,"balance";#N/A,#N/A,FALSE,"PYG"}</definedName>
    <definedName name="____________________________________________GGF2" localSheetId="3" hidden="1">{#N/A,#N/A,FALSE,"balance";#N/A,#N/A,FALSE,"PYG"}</definedName>
    <definedName name="____________________________________________GGF2" localSheetId="2" hidden="1">{#N/A,#N/A,FALSE,"balance";#N/A,#N/A,FALSE,"PYG"}</definedName>
    <definedName name="____________________________________________GGF2" hidden="1">{#N/A,#N/A,FALSE,"balance";#N/A,#N/A,FALSE,"PYG"}</definedName>
    <definedName name="____________________________________________OCT2" localSheetId="4" hidden="1">{#N/A,#N/A,FALSE,"BL&amp;GPA";#N/A,#N/A,FALSE,"Summary";#N/A,#N/A,FALSE,"hts"}</definedName>
    <definedName name="____________________________________________OCT2" localSheetId="3" hidden="1">{#N/A,#N/A,FALSE,"BL&amp;GPA";#N/A,#N/A,FALSE,"Summary";#N/A,#N/A,FALSE,"hts"}</definedName>
    <definedName name="____________________________________________OCT2" localSheetId="2" hidden="1">{#N/A,#N/A,FALSE,"BL&amp;GPA";#N/A,#N/A,FALSE,"Summary";#N/A,#N/A,FALSE,"hts"}</definedName>
    <definedName name="____________________________________________OCT2" hidden="1">{#N/A,#N/A,FALSE,"BL&amp;GPA";#N/A,#N/A,FALSE,"Summary";#N/A,#N/A,FALSE,"hts"}</definedName>
    <definedName name="____________________________________________ok1" localSheetId="4" hidden="1">{#N/A,#N/A,FALSE,"balance";#N/A,#N/A,FALSE,"PYG"}</definedName>
    <definedName name="____________________________________________ok1" localSheetId="3" hidden="1">{#N/A,#N/A,FALSE,"balance";#N/A,#N/A,FALSE,"PYG"}</definedName>
    <definedName name="____________________________________________ok1" localSheetId="2" hidden="1">{#N/A,#N/A,FALSE,"balance";#N/A,#N/A,FALSE,"PYG"}</definedName>
    <definedName name="____________________________________________ok1" hidden="1">{#N/A,#N/A,FALSE,"balance";#N/A,#N/A,FALSE,"PYG"}</definedName>
    <definedName name="____________________________________________Ok2" localSheetId="4" hidden="1">{#N/A,#N/A,FALSE,"balance";#N/A,#N/A,FALSE,"PYG"}</definedName>
    <definedName name="____________________________________________Ok2" localSheetId="3" hidden="1">{#N/A,#N/A,FALSE,"balance";#N/A,#N/A,FALSE,"PYG"}</definedName>
    <definedName name="____________________________________________Ok2" localSheetId="2" hidden="1">{#N/A,#N/A,FALSE,"balance";#N/A,#N/A,FALSE,"PYG"}</definedName>
    <definedName name="____________________________________________Ok2" hidden="1">{#N/A,#N/A,FALSE,"balance";#N/A,#N/A,FALSE,"PYG"}</definedName>
    <definedName name="____________________________________________PyG2" localSheetId="4" hidden="1">{#N/A,#N/A,FALSE,"balance";#N/A,#N/A,FALSE,"PYG"}</definedName>
    <definedName name="____________________________________________PyG2" localSheetId="3" hidden="1">{#N/A,#N/A,FALSE,"balance";#N/A,#N/A,FALSE,"PYG"}</definedName>
    <definedName name="____________________________________________PyG2" localSheetId="2" hidden="1">{#N/A,#N/A,FALSE,"balance";#N/A,#N/A,FALSE,"PYG"}</definedName>
    <definedName name="____________________________________________PyG2" hidden="1">{#N/A,#N/A,FALSE,"balance";#N/A,#N/A,FALSE,"PYG"}</definedName>
    <definedName name="____________________________________________PYG3" localSheetId="4" hidden="1">{#N/A,#N/A,FALSE,"balance";#N/A,#N/A,FALSE,"PYG"}</definedName>
    <definedName name="____________________________________________PYG3" localSheetId="3" hidden="1">{#N/A,#N/A,FALSE,"balance";#N/A,#N/A,FALSE,"PYG"}</definedName>
    <definedName name="____________________________________________PYG3" localSheetId="2" hidden="1">{#N/A,#N/A,FALSE,"balance";#N/A,#N/A,FALSE,"PYG"}</definedName>
    <definedName name="____________________________________________PYG3" hidden="1">{#N/A,#N/A,FALSE,"balance";#N/A,#N/A,FALSE,"PYG"}</definedName>
    <definedName name="____________________________________________PyG33" localSheetId="4" hidden="1">{#N/A,#N/A,FALSE,"balance";#N/A,#N/A,FALSE,"PYG"}</definedName>
    <definedName name="____________________________________________PyG33" localSheetId="3" hidden="1">{#N/A,#N/A,FALSE,"balance";#N/A,#N/A,FALSE,"PYG"}</definedName>
    <definedName name="____________________________________________PyG33" localSheetId="2" hidden="1">{#N/A,#N/A,FALSE,"balance";#N/A,#N/A,FALSE,"PYG"}</definedName>
    <definedName name="____________________________________________PyG33" hidden="1">{#N/A,#N/A,FALSE,"balance";#N/A,#N/A,FALSE,"PYG"}</definedName>
    <definedName name="___________________________________________GGF2" localSheetId="4" hidden="1">{#N/A,#N/A,FALSE,"balance";#N/A,#N/A,FALSE,"PYG"}</definedName>
    <definedName name="___________________________________________GGF2" localSheetId="3" hidden="1">{#N/A,#N/A,FALSE,"balance";#N/A,#N/A,FALSE,"PYG"}</definedName>
    <definedName name="___________________________________________GGF2" localSheetId="2" hidden="1">{#N/A,#N/A,FALSE,"balance";#N/A,#N/A,FALSE,"PYG"}</definedName>
    <definedName name="___________________________________________GGF2" hidden="1">{#N/A,#N/A,FALSE,"balance";#N/A,#N/A,FALSE,"PYG"}</definedName>
    <definedName name="___________________________________________OCT2" localSheetId="4" hidden="1">{#N/A,#N/A,FALSE,"BL&amp;GPA";#N/A,#N/A,FALSE,"Summary";#N/A,#N/A,FALSE,"hts"}</definedName>
    <definedName name="___________________________________________OCT2" localSheetId="3" hidden="1">{#N/A,#N/A,FALSE,"BL&amp;GPA";#N/A,#N/A,FALSE,"Summary";#N/A,#N/A,FALSE,"hts"}</definedName>
    <definedName name="___________________________________________OCT2" localSheetId="2" hidden="1">{#N/A,#N/A,FALSE,"BL&amp;GPA";#N/A,#N/A,FALSE,"Summary";#N/A,#N/A,FALSE,"hts"}</definedName>
    <definedName name="___________________________________________OCT2" hidden="1">{#N/A,#N/A,FALSE,"BL&amp;GPA";#N/A,#N/A,FALSE,"Summary";#N/A,#N/A,FALSE,"hts"}</definedName>
    <definedName name="___________________________________________ok1" localSheetId="4" hidden="1">{#N/A,#N/A,FALSE,"balance";#N/A,#N/A,FALSE,"PYG"}</definedName>
    <definedName name="___________________________________________ok1" localSheetId="3" hidden="1">{#N/A,#N/A,FALSE,"balance";#N/A,#N/A,FALSE,"PYG"}</definedName>
    <definedName name="___________________________________________ok1" localSheetId="2" hidden="1">{#N/A,#N/A,FALSE,"balance";#N/A,#N/A,FALSE,"PYG"}</definedName>
    <definedName name="___________________________________________ok1" hidden="1">{#N/A,#N/A,FALSE,"balance";#N/A,#N/A,FALSE,"PYG"}</definedName>
    <definedName name="___________________________________________Ok2" localSheetId="4" hidden="1">{#N/A,#N/A,FALSE,"balance";#N/A,#N/A,FALSE,"PYG"}</definedName>
    <definedName name="___________________________________________Ok2" localSheetId="3" hidden="1">{#N/A,#N/A,FALSE,"balance";#N/A,#N/A,FALSE,"PYG"}</definedName>
    <definedName name="___________________________________________Ok2" localSheetId="2" hidden="1">{#N/A,#N/A,FALSE,"balance";#N/A,#N/A,FALSE,"PYG"}</definedName>
    <definedName name="___________________________________________Ok2" hidden="1">{#N/A,#N/A,FALSE,"balance";#N/A,#N/A,FALSE,"PYG"}</definedName>
    <definedName name="___________________________________________PyG2" localSheetId="4" hidden="1">{#N/A,#N/A,FALSE,"balance";#N/A,#N/A,FALSE,"PYG"}</definedName>
    <definedName name="___________________________________________PyG2" localSheetId="3" hidden="1">{#N/A,#N/A,FALSE,"balance";#N/A,#N/A,FALSE,"PYG"}</definedName>
    <definedName name="___________________________________________PyG2" localSheetId="2" hidden="1">{#N/A,#N/A,FALSE,"balance";#N/A,#N/A,FALSE,"PYG"}</definedName>
    <definedName name="___________________________________________PyG2" hidden="1">{#N/A,#N/A,FALSE,"balance";#N/A,#N/A,FALSE,"PYG"}</definedName>
    <definedName name="___________________________________________PYG3" localSheetId="4" hidden="1">{#N/A,#N/A,FALSE,"balance";#N/A,#N/A,FALSE,"PYG"}</definedName>
    <definedName name="___________________________________________PYG3" localSheetId="3" hidden="1">{#N/A,#N/A,FALSE,"balance";#N/A,#N/A,FALSE,"PYG"}</definedName>
    <definedName name="___________________________________________PYG3" localSheetId="2" hidden="1">{#N/A,#N/A,FALSE,"balance";#N/A,#N/A,FALSE,"PYG"}</definedName>
    <definedName name="___________________________________________PYG3" hidden="1">{#N/A,#N/A,FALSE,"balance";#N/A,#N/A,FALSE,"PYG"}</definedName>
    <definedName name="___________________________________________PyG33" localSheetId="4" hidden="1">{#N/A,#N/A,FALSE,"balance";#N/A,#N/A,FALSE,"PYG"}</definedName>
    <definedName name="___________________________________________PyG33" localSheetId="3" hidden="1">{#N/A,#N/A,FALSE,"balance";#N/A,#N/A,FALSE,"PYG"}</definedName>
    <definedName name="___________________________________________PyG33" localSheetId="2" hidden="1">{#N/A,#N/A,FALSE,"balance";#N/A,#N/A,FALSE,"PYG"}</definedName>
    <definedName name="___________________________________________PyG33" hidden="1">{#N/A,#N/A,FALSE,"balance";#N/A,#N/A,FALSE,"PYG"}</definedName>
    <definedName name="__________________________________________GGF2" localSheetId="4" hidden="1">{#N/A,#N/A,FALSE,"balance";#N/A,#N/A,FALSE,"PYG"}</definedName>
    <definedName name="__________________________________________GGF2" localSheetId="3" hidden="1">{#N/A,#N/A,FALSE,"balance";#N/A,#N/A,FALSE,"PYG"}</definedName>
    <definedName name="__________________________________________GGF2" localSheetId="2" hidden="1">{#N/A,#N/A,FALSE,"balance";#N/A,#N/A,FALSE,"PYG"}</definedName>
    <definedName name="__________________________________________GGF2" hidden="1">{#N/A,#N/A,FALSE,"balance";#N/A,#N/A,FALSE,"PYG"}</definedName>
    <definedName name="__________________________________________OCT2" localSheetId="4" hidden="1">{#N/A,#N/A,FALSE,"BL&amp;GPA";#N/A,#N/A,FALSE,"Summary";#N/A,#N/A,FALSE,"hts"}</definedName>
    <definedName name="__________________________________________OCT2" localSheetId="3" hidden="1">{#N/A,#N/A,FALSE,"BL&amp;GPA";#N/A,#N/A,FALSE,"Summary";#N/A,#N/A,FALSE,"hts"}</definedName>
    <definedName name="__________________________________________OCT2" localSheetId="2" hidden="1">{#N/A,#N/A,FALSE,"BL&amp;GPA";#N/A,#N/A,FALSE,"Summary";#N/A,#N/A,FALSE,"hts"}</definedName>
    <definedName name="__________________________________________OCT2" hidden="1">{#N/A,#N/A,FALSE,"BL&amp;GPA";#N/A,#N/A,FALSE,"Summary";#N/A,#N/A,FALSE,"hts"}</definedName>
    <definedName name="__________________________________________ok1" localSheetId="4" hidden="1">{#N/A,#N/A,FALSE,"balance";#N/A,#N/A,FALSE,"PYG"}</definedName>
    <definedName name="__________________________________________ok1" localSheetId="3" hidden="1">{#N/A,#N/A,FALSE,"balance";#N/A,#N/A,FALSE,"PYG"}</definedName>
    <definedName name="__________________________________________ok1" localSheetId="2" hidden="1">{#N/A,#N/A,FALSE,"balance";#N/A,#N/A,FALSE,"PYG"}</definedName>
    <definedName name="__________________________________________ok1" hidden="1">{#N/A,#N/A,FALSE,"balance";#N/A,#N/A,FALSE,"PYG"}</definedName>
    <definedName name="__________________________________________Ok2" localSheetId="4" hidden="1">{#N/A,#N/A,FALSE,"balance";#N/A,#N/A,FALSE,"PYG"}</definedName>
    <definedName name="__________________________________________Ok2" localSheetId="3" hidden="1">{#N/A,#N/A,FALSE,"balance";#N/A,#N/A,FALSE,"PYG"}</definedName>
    <definedName name="__________________________________________Ok2" localSheetId="2" hidden="1">{#N/A,#N/A,FALSE,"balance";#N/A,#N/A,FALSE,"PYG"}</definedName>
    <definedName name="__________________________________________Ok2" hidden="1">{#N/A,#N/A,FALSE,"balance";#N/A,#N/A,FALSE,"PYG"}</definedName>
    <definedName name="__________________________________________PyG2" localSheetId="4" hidden="1">{#N/A,#N/A,FALSE,"balance";#N/A,#N/A,FALSE,"PYG"}</definedName>
    <definedName name="__________________________________________PyG2" localSheetId="3" hidden="1">{#N/A,#N/A,FALSE,"balance";#N/A,#N/A,FALSE,"PYG"}</definedName>
    <definedName name="__________________________________________PyG2" localSheetId="2" hidden="1">{#N/A,#N/A,FALSE,"balance";#N/A,#N/A,FALSE,"PYG"}</definedName>
    <definedName name="__________________________________________PyG2" hidden="1">{#N/A,#N/A,FALSE,"balance";#N/A,#N/A,FALSE,"PYG"}</definedName>
    <definedName name="__________________________________________PYG3" localSheetId="4" hidden="1">{#N/A,#N/A,FALSE,"balance";#N/A,#N/A,FALSE,"PYG"}</definedName>
    <definedName name="__________________________________________PYG3" localSheetId="3" hidden="1">{#N/A,#N/A,FALSE,"balance";#N/A,#N/A,FALSE,"PYG"}</definedName>
    <definedName name="__________________________________________PYG3" localSheetId="2" hidden="1">{#N/A,#N/A,FALSE,"balance";#N/A,#N/A,FALSE,"PYG"}</definedName>
    <definedName name="__________________________________________PYG3" hidden="1">{#N/A,#N/A,FALSE,"balance";#N/A,#N/A,FALSE,"PYG"}</definedName>
    <definedName name="__________________________________________PyG33" localSheetId="4" hidden="1">{#N/A,#N/A,FALSE,"balance";#N/A,#N/A,FALSE,"PYG"}</definedName>
    <definedName name="__________________________________________PyG33" localSheetId="3" hidden="1">{#N/A,#N/A,FALSE,"balance";#N/A,#N/A,FALSE,"PYG"}</definedName>
    <definedName name="__________________________________________PyG33" localSheetId="2" hidden="1">{#N/A,#N/A,FALSE,"balance";#N/A,#N/A,FALSE,"PYG"}</definedName>
    <definedName name="__________________________________________PyG33" hidden="1">{#N/A,#N/A,FALSE,"balance";#N/A,#N/A,FALSE,"PYG"}</definedName>
    <definedName name="_________________________________________GGF2" localSheetId="4" hidden="1">{#N/A,#N/A,FALSE,"balance";#N/A,#N/A,FALSE,"PYG"}</definedName>
    <definedName name="_________________________________________GGF2" localSheetId="3" hidden="1">{#N/A,#N/A,FALSE,"balance";#N/A,#N/A,FALSE,"PYG"}</definedName>
    <definedName name="_________________________________________GGF2" localSheetId="2" hidden="1">{#N/A,#N/A,FALSE,"balance";#N/A,#N/A,FALSE,"PYG"}</definedName>
    <definedName name="_________________________________________GGF2" hidden="1">{#N/A,#N/A,FALSE,"balance";#N/A,#N/A,FALSE,"PYG"}</definedName>
    <definedName name="_________________________________________OCT2" localSheetId="4" hidden="1">{#N/A,#N/A,FALSE,"BL&amp;GPA";#N/A,#N/A,FALSE,"Summary";#N/A,#N/A,FALSE,"hts"}</definedName>
    <definedName name="_________________________________________OCT2" localSheetId="3" hidden="1">{#N/A,#N/A,FALSE,"BL&amp;GPA";#N/A,#N/A,FALSE,"Summary";#N/A,#N/A,FALSE,"hts"}</definedName>
    <definedName name="_________________________________________OCT2" localSheetId="2" hidden="1">{#N/A,#N/A,FALSE,"BL&amp;GPA";#N/A,#N/A,FALSE,"Summary";#N/A,#N/A,FALSE,"hts"}</definedName>
    <definedName name="_________________________________________OCT2" hidden="1">{#N/A,#N/A,FALSE,"BL&amp;GPA";#N/A,#N/A,FALSE,"Summary";#N/A,#N/A,FALSE,"hts"}</definedName>
    <definedName name="_________________________________________ok1" localSheetId="4" hidden="1">{#N/A,#N/A,FALSE,"balance";#N/A,#N/A,FALSE,"PYG"}</definedName>
    <definedName name="_________________________________________ok1" localSheetId="3" hidden="1">{#N/A,#N/A,FALSE,"balance";#N/A,#N/A,FALSE,"PYG"}</definedName>
    <definedName name="_________________________________________ok1" localSheetId="2" hidden="1">{#N/A,#N/A,FALSE,"balance";#N/A,#N/A,FALSE,"PYG"}</definedName>
    <definedName name="_________________________________________ok1" hidden="1">{#N/A,#N/A,FALSE,"balance";#N/A,#N/A,FALSE,"PYG"}</definedName>
    <definedName name="_________________________________________Ok2" localSheetId="4" hidden="1">{#N/A,#N/A,FALSE,"balance";#N/A,#N/A,FALSE,"PYG"}</definedName>
    <definedName name="_________________________________________Ok2" localSheetId="3" hidden="1">{#N/A,#N/A,FALSE,"balance";#N/A,#N/A,FALSE,"PYG"}</definedName>
    <definedName name="_________________________________________Ok2" localSheetId="2" hidden="1">{#N/A,#N/A,FALSE,"balance";#N/A,#N/A,FALSE,"PYG"}</definedName>
    <definedName name="_________________________________________Ok2" hidden="1">{#N/A,#N/A,FALSE,"balance";#N/A,#N/A,FALSE,"PYG"}</definedName>
    <definedName name="_________________________________________PyG2" localSheetId="4" hidden="1">{#N/A,#N/A,FALSE,"balance";#N/A,#N/A,FALSE,"PYG"}</definedName>
    <definedName name="_________________________________________PyG2" localSheetId="3" hidden="1">{#N/A,#N/A,FALSE,"balance";#N/A,#N/A,FALSE,"PYG"}</definedName>
    <definedName name="_________________________________________PyG2" localSheetId="2" hidden="1">{#N/A,#N/A,FALSE,"balance";#N/A,#N/A,FALSE,"PYG"}</definedName>
    <definedName name="_________________________________________PyG2" hidden="1">{#N/A,#N/A,FALSE,"balance";#N/A,#N/A,FALSE,"PYG"}</definedName>
    <definedName name="_________________________________________PYG3" localSheetId="4" hidden="1">{#N/A,#N/A,FALSE,"balance";#N/A,#N/A,FALSE,"PYG"}</definedName>
    <definedName name="_________________________________________PYG3" localSheetId="3" hidden="1">{#N/A,#N/A,FALSE,"balance";#N/A,#N/A,FALSE,"PYG"}</definedName>
    <definedName name="_________________________________________PYG3" localSheetId="2" hidden="1">{#N/A,#N/A,FALSE,"balance";#N/A,#N/A,FALSE,"PYG"}</definedName>
    <definedName name="_________________________________________PYG3" hidden="1">{#N/A,#N/A,FALSE,"balance";#N/A,#N/A,FALSE,"PYG"}</definedName>
    <definedName name="_________________________________________PyG33" localSheetId="4" hidden="1">{#N/A,#N/A,FALSE,"balance";#N/A,#N/A,FALSE,"PYG"}</definedName>
    <definedName name="_________________________________________PyG33" localSheetId="3" hidden="1">{#N/A,#N/A,FALSE,"balance";#N/A,#N/A,FALSE,"PYG"}</definedName>
    <definedName name="_________________________________________PyG33" localSheetId="2" hidden="1">{#N/A,#N/A,FALSE,"balance";#N/A,#N/A,FALSE,"PYG"}</definedName>
    <definedName name="_________________________________________PyG33" hidden="1">{#N/A,#N/A,FALSE,"balance";#N/A,#N/A,FALSE,"PYG"}</definedName>
    <definedName name="________________________________________GGF2" localSheetId="4" hidden="1">{#N/A,#N/A,FALSE,"balance";#N/A,#N/A,FALSE,"PYG"}</definedName>
    <definedName name="________________________________________GGF2" localSheetId="3" hidden="1">{#N/A,#N/A,FALSE,"balance";#N/A,#N/A,FALSE,"PYG"}</definedName>
    <definedName name="________________________________________GGF2" localSheetId="2" hidden="1">{#N/A,#N/A,FALSE,"balance";#N/A,#N/A,FALSE,"PYG"}</definedName>
    <definedName name="________________________________________GGF2" hidden="1">{#N/A,#N/A,FALSE,"balance";#N/A,#N/A,FALSE,"PYG"}</definedName>
    <definedName name="________________________________________OCT2" localSheetId="4" hidden="1">{#N/A,#N/A,FALSE,"BL&amp;GPA";#N/A,#N/A,FALSE,"Summary";#N/A,#N/A,FALSE,"hts"}</definedName>
    <definedName name="________________________________________OCT2" localSheetId="3" hidden="1">{#N/A,#N/A,FALSE,"BL&amp;GPA";#N/A,#N/A,FALSE,"Summary";#N/A,#N/A,FALSE,"hts"}</definedName>
    <definedName name="________________________________________OCT2" localSheetId="2" hidden="1">{#N/A,#N/A,FALSE,"BL&amp;GPA";#N/A,#N/A,FALSE,"Summary";#N/A,#N/A,FALSE,"hts"}</definedName>
    <definedName name="________________________________________OCT2" hidden="1">{#N/A,#N/A,FALSE,"BL&amp;GPA";#N/A,#N/A,FALSE,"Summary";#N/A,#N/A,FALSE,"hts"}</definedName>
    <definedName name="________________________________________ok1" localSheetId="4" hidden="1">{#N/A,#N/A,FALSE,"balance";#N/A,#N/A,FALSE,"PYG"}</definedName>
    <definedName name="________________________________________ok1" localSheetId="3" hidden="1">{#N/A,#N/A,FALSE,"balance";#N/A,#N/A,FALSE,"PYG"}</definedName>
    <definedName name="________________________________________ok1" localSheetId="2" hidden="1">{#N/A,#N/A,FALSE,"balance";#N/A,#N/A,FALSE,"PYG"}</definedName>
    <definedName name="________________________________________ok1" hidden="1">{#N/A,#N/A,FALSE,"balance";#N/A,#N/A,FALSE,"PYG"}</definedName>
    <definedName name="________________________________________Ok2" localSheetId="4" hidden="1">{#N/A,#N/A,FALSE,"balance";#N/A,#N/A,FALSE,"PYG"}</definedName>
    <definedName name="________________________________________Ok2" localSheetId="3" hidden="1">{#N/A,#N/A,FALSE,"balance";#N/A,#N/A,FALSE,"PYG"}</definedName>
    <definedName name="________________________________________Ok2" localSheetId="2" hidden="1">{#N/A,#N/A,FALSE,"balance";#N/A,#N/A,FALSE,"PYG"}</definedName>
    <definedName name="________________________________________Ok2" hidden="1">{#N/A,#N/A,FALSE,"balance";#N/A,#N/A,FALSE,"PYG"}</definedName>
    <definedName name="________________________________________PyG2" localSheetId="4" hidden="1">{#N/A,#N/A,FALSE,"balance";#N/A,#N/A,FALSE,"PYG"}</definedName>
    <definedName name="________________________________________PyG2" localSheetId="3" hidden="1">{#N/A,#N/A,FALSE,"balance";#N/A,#N/A,FALSE,"PYG"}</definedName>
    <definedName name="________________________________________PyG2" localSheetId="2" hidden="1">{#N/A,#N/A,FALSE,"balance";#N/A,#N/A,FALSE,"PYG"}</definedName>
    <definedName name="________________________________________PyG2" hidden="1">{#N/A,#N/A,FALSE,"balance";#N/A,#N/A,FALSE,"PYG"}</definedName>
    <definedName name="________________________________________PYG3" localSheetId="4" hidden="1">{#N/A,#N/A,FALSE,"balance";#N/A,#N/A,FALSE,"PYG"}</definedName>
    <definedName name="________________________________________PYG3" localSheetId="3" hidden="1">{#N/A,#N/A,FALSE,"balance";#N/A,#N/A,FALSE,"PYG"}</definedName>
    <definedName name="________________________________________PYG3" localSheetId="2" hidden="1">{#N/A,#N/A,FALSE,"balance";#N/A,#N/A,FALSE,"PYG"}</definedName>
    <definedName name="________________________________________PYG3" hidden="1">{#N/A,#N/A,FALSE,"balance";#N/A,#N/A,FALSE,"PYG"}</definedName>
    <definedName name="________________________________________PyG33" localSheetId="4" hidden="1">{#N/A,#N/A,FALSE,"balance";#N/A,#N/A,FALSE,"PYG"}</definedName>
    <definedName name="________________________________________PyG33" localSheetId="3" hidden="1">{#N/A,#N/A,FALSE,"balance";#N/A,#N/A,FALSE,"PYG"}</definedName>
    <definedName name="________________________________________PyG33" localSheetId="2" hidden="1">{#N/A,#N/A,FALSE,"balance";#N/A,#N/A,FALSE,"PYG"}</definedName>
    <definedName name="________________________________________PyG33" hidden="1">{#N/A,#N/A,FALSE,"balance";#N/A,#N/A,FALSE,"PYG"}</definedName>
    <definedName name="_______________________________________GGF2" localSheetId="4" hidden="1">{#N/A,#N/A,FALSE,"balance";#N/A,#N/A,FALSE,"PYG"}</definedName>
    <definedName name="_______________________________________GGF2" localSheetId="3" hidden="1">{#N/A,#N/A,FALSE,"balance";#N/A,#N/A,FALSE,"PYG"}</definedName>
    <definedName name="_______________________________________GGF2" localSheetId="2" hidden="1">{#N/A,#N/A,FALSE,"balance";#N/A,#N/A,FALSE,"PYG"}</definedName>
    <definedName name="_______________________________________GGF2" hidden="1">{#N/A,#N/A,FALSE,"balance";#N/A,#N/A,FALSE,"PYG"}</definedName>
    <definedName name="_______________________________________OCT2" localSheetId="4" hidden="1">{#N/A,#N/A,FALSE,"BL&amp;GPA";#N/A,#N/A,FALSE,"Summary";#N/A,#N/A,FALSE,"hts"}</definedName>
    <definedName name="_______________________________________OCT2" localSheetId="3" hidden="1">{#N/A,#N/A,FALSE,"BL&amp;GPA";#N/A,#N/A,FALSE,"Summary";#N/A,#N/A,FALSE,"hts"}</definedName>
    <definedName name="_______________________________________OCT2" localSheetId="2" hidden="1">{#N/A,#N/A,FALSE,"BL&amp;GPA";#N/A,#N/A,FALSE,"Summary";#N/A,#N/A,FALSE,"hts"}</definedName>
    <definedName name="_______________________________________OCT2" hidden="1">{#N/A,#N/A,FALSE,"BL&amp;GPA";#N/A,#N/A,FALSE,"Summary";#N/A,#N/A,FALSE,"hts"}</definedName>
    <definedName name="_______________________________________ok1" localSheetId="4" hidden="1">{#N/A,#N/A,FALSE,"balance";#N/A,#N/A,FALSE,"PYG"}</definedName>
    <definedName name="_______________________________________ok1" localSheetId="3" hidden="1">{#N/A,#N/A,FALSE,"balance";#N/A,#N/A,FALSE,"PYG"}</definedName>
    <definedName name="_______________________________________ok1" localSheetId="2" hidden="1">{#N/A,#N/A,FALSE,"balance";#N/A,#N/A,FALSE,"PYG"}</definedName>
    <definedName name="_______________________________________ok1" hidden="1">{#N/A,#N/A,FALSE,"balance";#N/A,#N/A,FALSE,"PYG"}</definedName>
    <definedName name="_______________________________________Ok2" localSheetId="4" hidden="1">{#N/A,#N/A,FALSE,"balance";#N/A,#N/A,FALSE,"PYG"}</definedName>
    <definedName name="_______________________________________Ok2" localSheetId="3" hidden="1">{#N/A,#N/A,FALSE,"balance";#N/A,#N/A,FALSE,"PYG"}</definedName>
    <definedName name="_______________________________________Ok2" localSheetId="2" hidden="1">{#N/A,#N/A,FALSE,"balance";#N/A,#N/A,FALSE,"PYG"}</definedName>
    <definedName name="_______________________________________Ok2" hidden="1">{#N/A,#N/A,FALSE,"balance";#N/A,#N/A,FALSE,"PYG"}</definedName>
    <definedName name="_______________________________________PyG2" localSheetId="4" hidden="1">{#N/A,#N/A,FALSE,"balance";#N/A,#N/A,FALSE,"PYG"}</definedName>
    <definedName name="_______________________________________PyG2" localSheetId="3" hidden="1">{#N/A,#N/A,FALSE,"balance";#N/A,#N/A,FALSE,"PYG"}</definedName>
    <definedName name="_______________________________________PyG2" localSheetId="2" hidden="1">{#N/A,#N/A,FALSE,"balance";#N/A,#N/A,FALSE,"PYG"}</definedName>
    <definedName name="_______________________________________PyG2" hidden="1">{#N/A,#N/A,FALSE,"balance";#N/A,#N/A,FALSE,"PYG"}</definedName>
    <definedName name="_______________________________________PYG3" localSheetId="4" hidden="1">{#N/A,#N/A,FALSE,"balance";#N/A,#N/A,FALSE,"PYG"}</definedName>
    <definedName name="_______________________________________PYG3" localSheetId="3" hidden="1">{#N/A,#N/A,FALSE,"balance";#N/A,#N/A,FALSE,"PYG"}</definedName>
    <definedName name="_______________________________________PYG3" localSheetId="2" hidden="1">{#N/A,#N/A,FALSE,"balance";#N/A,#N/A,FALSE,"PYG"}</definedName>
    <definedName name="_______________________________________PYG3" hidden="1">{#N/A,#N/A,FALSE,"balance";#N/A,#N/A,FALSE,"PYG"}</definedName>
    <definedName name="_______________________________________PyG33" localSheetId="4" hidden="1">{#N/A,#N/A,FALSE,"balance";#N/A,#N/A,FALSE,"PYG"}</definedName>
    <definedName name="_______________________________________PyG33" localSheetId="3" hidden="1">{#N/A,#N/A,FALSE,"balance";#N/A,#N/A,FALSE,"PYG"}</definedName>
    <definedName name="_______________________________________PyG33" localSheetId="2" hidden="1">{#N/A,#N/A,FALSE,"balance";#N/A,#N/A,FALSE,"PYG"}</definedName>
    <definedName name="_______________________________________PyG33" hidden="1">{#N/A,#N/A,FALSE,"balance";#N/A,#N/A,FALSE,"PYG"}</definedName>
    <definedName name="______________________________________GGF2" localSheetId="1" hidden="1">{#N/A,#N/A,FALSE,"balance";#N/A,#N/A,FALSE,"PYG"}</definedName>
    <definedName name="______________________________________GGF2" localSheetId="4" hidden="1">{#N/A,#N/A,FALSE,"balance";#N/A,#N/A,FALSE,"PYG"}</definedName>
    <definedName name="______________________________________GGF2" localSheetId="0" hidden="1">{#N/A,#N/A,FALSE,"balance";#N/A,#N/A,FALSE,"PYG"}</definedName>
    <definedName name="______________________________________GGF2" localSheetId="3" hidden="1">{#N/A,#N/A,FALSE,"balance";#N/A,#N/A,FALSE,"PYG"}</definedName>
    <definedName name="______________________________________GGF2" localSheetId="2" hidden="1">{#N/A,#N/A,FALSE,"balance";#N/A,#N/A,FALSE,"PYG"}</definedName>
    <definedName name="______________________________________GGF2" hidden="1">{#N/A,#N/A,FALSE,"balance";#N/A,#N/A,FALSE,"PYG"}</definedName>
    <definedName name="______________________________________OCT2" localSheetId="1" hidden="1">{#N/A,#N/A,FALSE,"BL&amp;GPA";#N/A,#N/A,FALSE,"Summary";#N/A,#N/A,FALSE,"hts"}</definedName>
    <definedName name="______________________________________OCT2" localSheetId="4" hidden="1">{#N/A,#N/A,FALSE,"BL&amp;GPA";#N/A,#N/A,FALSE,"Summary";#N/A,#N/A,FALSE,"hts"}</definedName>
    <definedName name="______________________________________OCT2" localSheetId="0" hidden="1">{#N/A,#N/A,FALSE,"BL&amp;GPA";#N/A,#N/A,FALSE,"Summary";#N/A,#N/A,FALSE,"hts"}</definedName>
    <definedName name="______________________________________OCT2" localSheetId="3" hidden="1">{#N/A,#N/A,FALSE,"BL&amp;GPA";#N/A,#N/A,FALSE,"Summary";#N/A,#N/A,FALSE,"hts"}</definedName>
    <definedName name="______________________________________OCT2" localSheetId="2" hidden="1">{#N/A,#N/A,FALSE,"BL&amp;GPA";#N/A,#N/A,FALSE,"Summary";#N/A,#N/A,FALSE,"hts"}</definedName>
    <definedName name="______________________________________OCT2" hidden="1">{#N/A,#N/A,FALSE,"BL&amp;GPA";#N/A,#N/A,FALSE,"Summary";#N/A,#N/A,FALSE,"hts"}</definedName>
    <definedName name="______________________________________ok1" localSheetId="1" hidden="1">{#N/A,#N/A,FALSE,"balance";#N/A,#N/A,FALSE,"PYG"}</definedName>
    <definedName name="______________________________________ok1" localSheetId="4" hidden="1">{#N/A,#N/A,FALSE,"balance";#N/A,#N/A,FALSE,"PYG"}</definedName>
    <definedName name="______________________________________ok1" localSheetId="0" hidden="1">{#N/A,#N/A,FALSE,"balance";#N/A,#N/A,FALSE,"PYG"}</definedName>
    <definedName name="______________________________________ok1" localSheetId="3" hidden="1">{#N/A,#N/A,FALSE,"balance";#N/A,#N/A,FALSE,"PYG"}</definedName>
    <definedName name="______________________________________ok1" localSheetId="2" hidden="1">{#N/A,#N/A,FALSE,"balance";#N/A,#N/A,FALSE,"PYG"}</definedName>
    <definedName name="______________________________________ok1" hidden="1">{#N/A,#N/A,FALSE,"balance";#N/A,#N/A,FALSE,"PYG"}</definedName>
    <definedName name="______________________________________Ok2" localSheetId="1" hidden="1">{#N/A,#N/A,FALSE,"balance";#N/A,#N/A,FALSE,"PYG"}</definedName>
    <definedName name="______________________________________Ok2" localSheetId="4" hidden="1">{#N/A,#N/A,FALSE,"balance";#N/A,#N/A,FALSE,"PYG"}</definedName>
    <definedName name="______________________________________Ok2" localSheetId="0" hidden="1">{#N/A,#N/A,FALSE,"balance";#N/A,#N/A,FALSE,"PYG"}</definedName>
    <definedName name="______________________________________Ok2" localSheetId="3" hidden="1">{#N/A,#N/A,FALSE,"balance";#N/A,#N/A,FALSE,"PYG"}</definedName>
    <definedName name="______________________________________Ok2" localSheetId="2" hidden="1">{#N/A,#N/A,FALSE,"balance";#N/A,#N/A,FALSE,"PYG"}</definedName>
    <definedName name="______________________________________Ok2" hidden="1">{#N/A,#N/A,FALSE,"balance";#N/A,#N/A,FALSE,"PYG"}</definedName>
    <definedName name="______________________________________PyG2" localSheetId="1" hidden="1">{#N/A,#N/A,FALSE,"balance";#N/A,#N/A,FALSE,"PYG"}</definedName>
    <definedName name="______________________________________PyG2" localSheetId="4" hidden="1">{#N/A,#N/A,FALSE,"balance";#N/A,#N/A,FALSE,"PYG"}</definedName>
    <definedName name="______________________________________PyG2" localSheetId="0" hidden="1">{#N/A,#N/A,FALSE,"balance";#N/A,#N/A,FALSE,"PYG"}</definedName>
    <definedName name="______________________________________PyG2" localSheetId="3" hidden="1">{#N/A,#N/A,FALSE,"balance";#N/A,#N/A,FALSE,"PYG"}</definedName>
    <definedName name="______________________________________PyG2" localSheetId="2" hidden="1">{#N/A,#N/A,FALSE,"balance";#N/A,#N/A,FALSE,"PYG"}</definedName>
    <definedName name="______________________________________PyG2" hidden="1">{#N/A,#N/A,FALSE,"balance";#N/A,#N/A,FALSE,"PYG"}</definedName>
    <definedName name="______________________________________PYG3" localSheetId="1" hidden="1">{#N/A,#N/A,FALSE,"balance";#N/A,#N/A,FALSE,"PYG"}</definedName>
    <definedName name="______________________________________PYG3" localSheetId="4" hidden="1">{#N/A,#N/A,FALSE,"balance";#N/A,#N/A,FALSE,"PYG"}</definedName>
    <definedName name="______________________________________PYG3" localSheetId="0" hidden="1">{#N/A,#N/A,FALSE,"balance";#N/A,#N/A,FALSE,"PYG"}</definedName>
    <definedName name="______________________________________PYG3" localSheetId="3" hidden="1">{#N/A,#N/A,FALSE,"balance";#N/A,#N/A,FALSE,"PYG"}</definedName>
    <definedName name="______________________________________PYG3" localSheetId="2" hidden="1">{#N/A,#N/A,FALSE,"balance";#N/A,#N/A,FALSE,"PYG"}</definedName>
    <definedName name="______________________________________PYG3" hidden="1">{#N/A,#N/A,FALSE,"balance";#N/A,#N/A,FALSE,"PYG"}</definedName>
    <definedName name="______________________________________PyG33" localSheetId="1" hidden="1">{#N/A,#N/A,FALSE,"balance";#N/A,#N/A,FALSE,"PYG"}</definedName>
    <definedName name="______________________________________PyG33" localSheetId="4" hidden="1">{#N/A,#N/A,FALSE,"balance";#N/A,#N/A,FALSE,"PYG"}</definedName>
    <definedName name="______________________________________PyG33" localSheetId="0" hidden="1">{#N/A,#N/A,FALSE,"balance";#N/A,#N/A,FALSE,"PYG"}</definedName>
    <definedName name="______________________________________PyG33" localSheetId="3" hidden="1">{#N/A,#N/A,FALSE,"balance";#N/A,#N/A,FALSE,"PYG"}</definedName>
    <definedName name="______________________________________PyG33" localSheetId="2" hidden="1">{#N/A,#N/A,FALSE,"balance";#N/A,#N/A,FALSE,"PYG"}</definedName>
    <definedName name="______________________________________PyG33" hidden="1">{#N/A,#N/A,FALSE,"balance";#N/A,#N/A,FALSE,"PYG"}</definedName>
    <definedName name="_____________________________________GGF2" localSheetId="4" hidden="1">{#N/A,#N/A,FALSE,"balance";#N/A,#N/A,FALSE,"PYG"}</definedName>
    <definedName name="_____________________________________GGF2" localSheetId="3" hidden="1">{#N/A,#N/A,FALSE,"balance";#N/A,#N/A,FALSE,"PYG"}</definedName>
    <definedName name="_____________________________________GGF2" localSheetId="2" hidden="1">{#N/A,#N/A,FALSE,"balance";#N/A,#N/A,FALSE,"PYG"}</definedName>
    <definedName name="_____________________________________GGF2" hidden="1">{#N/A,#N/A,FALSE,"balance";#N/A,#N/A,FALSE,"PYG"}</definedName>
    <definedName name="_____________________________________OCT2" localSheetId="4" hidden="1">{#N/A,#N/A,FALSE,"BL&amp;GPA";#N/A,#N/A,FALSE,"Summary";#N/A,#N/A,FALSE,"hts"}</definedName>
    <definedName name="_____________________________________OCT2" localSheetId="3" hidden="1">{#N/A,#N/A,FALSE,"BL&amp;GPA";#N/A,#N/A,FALSE,"Summary";#N/A,#N/A,FALSE,"hts"}</definedName>
    <definedName name="_____________________________________OCT2" localSheetId="2" hidden="1">{#N/A,#N/A,FALSE,"BL&amp;GPA";#N/A,#N/A,FALSE,"Summary";#N/A,#N/A,FALSE,"hts"}</definedName>
    <definedName name="_____________________________________OCT2" hidden="1">{#N/A,#N/A,FALSE,"BL&amp;GPA";#N/A,#N/A,FALSE,"Summary";#N/A,#N/A,FALSE,"hts"}</definedName>
    <definedName name="_____________________________________ok1" localSheetId="4" hidden="1">{#N/A,#N/A,FALSE,"balance";#N/A,#N/A,FALSE,"PYG"}</definedName>
    <definedName name="_____________________________________ok1" localSheetId="3" hidden="1">{#N/A,#N/A,FALSE,"balance";#N/A,#N/A,FALSE,"PYG"}</definedName>
    <definedName name="_____________________________________ok1" localSheetId="2" hidden="1">{#N/A,#N/A,FALSE,"balance";#N/A,#N/A,FALSE,"PYG"}</definedName>
    <definedName name="_____________________________________ok1" hidden="1">{#N/A,#N/A,FALSE,"balance";#N/A,#N/A,FALSE,"PYG"}</definedName>
    <definedName name="_____________________________________Ok2" localSheetId="4" hidden="1">{#N/A,#N/A,FALSE,"balance";#N/A,#N/A,FALSE,"PYG"}</definedName>
    <definedName name="_____________________________________Ok2" localSheetId="3" hidden="1">{#N/A,#N/A,FALSE,"balance";#N/A,#N/A,FALSE,"PYG"}</definedName>
    <definedName name="_____________________________________Ok2" localSheetId="2" hidden="1">{#N/A,#N/A,FALSE,"balance";#N/A,#N/A,FALSE,"PYG"}</definedName>
    <definedName name="_____________________________________Ok2" hidden="1">{#N/A,#N/A,FALSE,"balance";#N/A,#N/A,FALSE,"PYG"}</definedName>
    <definedName name="_____________________________________PyG2" localSheetId="4" hidden="1">{#N/A,#N/A,FALSE,"balance";#N/A,#N/A,FALSE,"PYG"}</definedName>
    <definedName name="_____________________________________PyG2" localSheetId="3" hidden="1">{#N/A,#N/A,FALSE,"balance";#N/A,#N/A,FALSE,"PYG"}</definedName>
    <definedName name="_____________________________________PyG2" localSheetId="2" hidden="1">{#N/A,#N/A,FALSE,"balance";#N/A,#N/A,FALSE,"PYG"}</definedName>
    <definedName name="_____________________________________PyG2" hidden="1">{#N/A,#N/A,FALSE,"balance";#N/A,#N/A,FALSE,"PYG"}</definedName>
    <definedName name="_____________________________________PYG3" localSheetId="4" hidden="1">{#N/A,#N/A,FALSE,"balance";#N/A,#N/A,FALSE,"PYG"}</definedName>
    <definedName name="_____________________________________PYG3" localSheetId="3" hidden="1">{#N/A,#N/A,FALSE,"balance";#N/A,#N/A,FALSE,"PYG"}</definedName>
    <definedName name="_____________________________________PYG3" localSheetId="2" hidden="1">{#N/A,#N/A,FALSE,"balance";#N/A,#N/A,FALSE,"PYG"}</definedName>
    <definedName name="_____________________________________PYG3" hidden="1">{#N/A,#N/A,FALSE,"balance";#N/A,#N/A,FALSE,"PYG"}</definedName>
    <definedName name="_____________________________________PyG33" localSheetId="4" hidden="1">{#N/A,#N/A,FALSE,"balance";#N/A,#N/A,FALSE,"PYG"}</definedName>
    <definedName name="_____________________________________PyG33" localSheetId="3" hidden="1">{#N/A,#N/A,FALSE,"balance";#N/A,#N/A,FALSE,"PYG"}</definedName>
    <definedName name="_____________________________________PyG33" localSheetId="2" hidden="1">{#N/A,#N/A,FALSE,"balance";#N/A,#N/A,FALSE,"PYG"}</definedName>
    <definedName name="_____________________________________PyG33" hidden="1">{#N/A,#N/A,FALSE,"balance";#N/A,#N/A,FALSE,"PYG"}</definedName>
    <definedName name="____________________________________GGF2" localSheetId="1" hidden="1">{#N/A,#N/A,FALSE,"balance";#N/A,#N/A,FALSE,"PYG"}</definedName>
    <definedName name="____________________________________GGF2" localSheetId="4" hidden="1">{#N/A,#N/A,FALSE,"balance";#N/A,#N/A,FALSE,"PYG"}</definedName>
    <definedName name="____________________________________GGF2" localSheetId="0" hidden="1">{#N/A,#N/A,FALSE,"balance";#N/A,#N/A,FALSE,"PYG"}</definedName>
    <definedName name="____________________________________GGF2" localSheetId="3" hidden="1">{#N/A,#N/A,FALSE,"balance";#N/A,#N/A,FALSE,"PYG"}</definedName>
    <definedName name="____________________________________GGF2" localSheetId="2" hidden="1">{#N/A,#N/A,FALSE,"balance";#N/A,#N/A,FALSE,"PYG"}</definedName>
    <definedName name="____________________________________GGF2" hidden="1">{#N/A,#N/A,FALSE,"balance";#N/A,#N/A,FALSE,"PYG"}</definedName>
    <definedName name="____________________________________OCT2" localSheetId="1" hidden="1">{#N/A,#N/A,FALSE,"BL&amp;GPA";#N/A,#N/A,FALSE,"Summary";#N/A,#N/A,FALSE,"hts"}</definedName>
    <definedName name="____________________________________OCT2" localSheetId="4" hidden="1">{#N/A,#N/A,FALSE,"BL&amp;GPA";#N/A,#N/A,FALSE,"Summary";#N/A,#N/A,FALSE,"hts"}</definedName>
    <definedName name="____________________________________OCT2" localSheetId="0" hidden="1">{#N/A,#N/A,FALSE,"BL&amp;GPA";#N/A,#N/A,FALSE,"Summary";#N/A,#N/A,FALSE,"hts"}</definedName>
    <definedName name="____________________________________OCT2" localSheetId="3" hidden="1">{#N/A,#N/A,FALSE,"BL&amp;GPA";#N/A,#N/A,FALSE,"Summary";#N/A,#N/A,FALSE,"hts"}</definedName>
    <definedName name="____________________________________OCT2" localSheetId="2" hidden="1">{#N/A,#N/A,FALSE,"BL&amp;GPA";#N/A,#N/A,FALSE,"Summary";#N/A,#N/A,FALSE,"hts"}</definedName>
    <definedName name="____________________________________OCT2" hidden="1">{#N/A,#N/A,FALSE,"BL&amp;GPA";#N/A,#N/A,FALSE,"Summary";#N/A,#N/A,FALSE,"hts"}</definedName>
    <definedName name="____________________________________ok1" localSheetId="1" hidden="1">{#N/A,#N/A,FALSE,"balance";#N/A,#N/A,FALSE,"PYG"}</definedName>
    <definedName name="____________________________________ok1" localSheetId="4" hidden="1">{#N/A,#N/A,FALSE,"balance";#N/A,#N/A,FALSE,"PYG"}</definedName>
    <definedName name="____________________________________ok1" localSheetId="0" hidden="1">{#N/A,#N/A,FALSE,"balance";#N/A,#N/A,FALSE,"PYG"}</definedName>
    <definedName name="____________________________________ok1" localSheetId="3" hidden="1">{#N/A,#N/A,FALSE,"balance";#N/A,#N/A,FALSE,"PYG"}</definedName>
    <definedName name="____________________________________ok1" localSheetId="2" hidden="1">{#N/A,#N/A,FALSE,"balance";#N/A,#N/A,FALSE,"PYG"}</definedName>
    <definedName name="____________________________________ok1" hidden="1">{#N/A,#N/A,FALSE,"balance";#N/A,#N/A,FALSE,"PYG"}</definedName>
    <definedName name="____________________________________Ok2" localSheetId="1" hidden="1">{#N/A,#N/A,FALSE,"balance";#N/A,#N/A,FALSE,"PYG"}</definedName>
    <definedName name="____________________________________Ok2" localSheetId="4" hidden="1">{#N/A,#N/A,FALSE,"balance";#N/A,#N/A,FALSE,"PYG"}</definedName>
    <definedName name="____________________________________Ok2" localSheetId="0" hidden="1">{#N/A,#N/A,FALSE,"balance";#N/A,#N/A,FALSE,"PYG"}</definedName>
    <definedName name="____________________________________Ok2" localSheetId="3" hidden="1">{#N/A,#N/A,FALSE,"balance";#N/A,#N/A,FALSE,"PYG"}</definedName>
    <definedName name="____________________________________Ok2" localSheetId="2" hidden="1">{#N/A,#N/A,FALSE,"balance";#N/A,#N/A,FALSE,"PYG"}</definedName>
    <definedName name="____________________________________Ok2" hidden="1">{#N/A,#N/A,FALSE,"balance";#N/A,#N/A,FALSE,"PYG"}</definedName>
    <definedName name="____________________________________PyG2" localSheetId="1" hidden="1">{#N/A,#N/A,FALSE,"balance";#N/A,#N/A,FALSE,"PYG"}</definedName>
    <definedName name="____________________________________PyG2" localSheetId="4" hidden="1">{#N/A,#N/A,FALSE,"balance";#N/A,#N/A,FALSE,"PYG"}</definedName>
    <definedName name="____________________________________PyG2" localSheetId="0" hidden="1">{#N/A,#N/A,FALSE,"balance";#N/A,#N/A,FALSE,"PYG"}</definedName>
    <definedName name="____________________________________PyG2" localSheetId="3" hidden="1">{#N/A,#N/A,FALSE,"balance";#N/A,#N/A,FALSE,"PYG"}</definedName>
    <definedName name="____________________________________PyG2" localSheetId="2" hidden="1">{#N/A,#N/A,FALSE,"balance";#N/A,#N/A,FALSE,"PYG"}</definedName>
    <definedName name="____________________________________PyG2" hidden="1">{#N/A,#N/A,FALSE,"balance";#N/A,#N/A,FALSE,"PYG"}</definedName>
    <definedName name="____________________________________PYG3" localSheetId="1" hidden="1">{#N/A,#N/A,FALSE,"balance";#N/A,#N/A,FALSE,"PYG"}</definedName>
    <definedName name="____________________________________PYG3" localSheetId="4" hidden="1">{#N/A,#N/A,FALSE,"balance";#N/A,#N/A,FALSE,"PYG"}</definedName>
    <definedName name="____________________________________PYG3" localSheetId="0" hidden="1">{#N/A,#N/A,FALSE,"balance";#N/A,#N/A,FALSE,"PYG"}</definedName>
    <definedName name="____________________________________PYG3" localSheetId="3" hidden="1">{#N/A,#N/A,FALSE,"balance";#N/A,#N/A,FALSE,"PYG"}</definedName>
    <definedName name="____________________________________PYG3" localSheetId="2" hidden="1">{#N/A,#N/A,FALSE,"balance";#N/A,#N/A,FALSE,"PYG"}</definedName>
    <definedName name="____________________________________PYG3" hidden="1">{#N/A,#N/A,FALSE,"balance";#N/A,#N/A,FALSE,"PYG"}</definedName>
    <definedName name="____________________________________PyG33" localSheetId="1" hidden="1">{#N/A,#N/A,FALSE,"balance";#N/A,#N/A,FALSE,"PYG"}</definedName>
    <definedName name="____________________________________PyG33" localSheetId="4" hidden="1">{#N/A,#N/A,FALSE,"balance";#N/A,#N/A,FALSE,"PYG"}</definedName>
    <definedName name="____________________________________PyG33" localSheetId="0" hidden="1">{#N/A,#N/A,FALSE,"balance";#N/A,#N/A,FALSE,"PYG"}</definedName>
    <definedName name="____________________________________PyG33" localSheetId="3" hidden="1">{#N/A,#N/A,FALSE,"balance";#N/A,#N/A,FALSE,"PYG"}</definedName>
    <definedName name="____________________________________PyG33" localSheetId="2" hidden="1">{#N/A,#N/A,FALSE,"balance";#N/A,#N/A,FALSE,"PYG"}</definedName>
    <definedName name="____________________________________PyG33" hidden="1">{#N/A,#N/A,FALSE,"balance";#N/A,#N/A,FALSE,"PYG"}</definedName>
    <definedName name="___________________________________GGF2" localSheetId="1" hidden="1">{#N/A,#N/A,FALSE,"balance";#N/A,#N/A,FALSE,"PYG"}</definedName>
    <definedName name="___________________________________GGF2" localSheetId="4" hidden="1">{#N/A,#N/A,FALSE,"balance";#N/A,#N/A,FALSE,"PYG"}</definedName>
    <definedName name="___________________________________GGF2" localSheetId="0" hidden="1">{#N/A,#N/A,FALSE,"balance";#N/A,#N/A,FALSE,"PYG"}</definedName>
    <definedName name="___________________________________GGF2" localSheetId="3" hidden="1">{#N/A,#N/A,FALSE,"balance";#N/A,#N/A,FALSE,"PYG"}</definedName>
    <definedName name="___________________________________GGF2" localSheetId="2" hidden="1">{#N/A,#N/A,FALSE,"balance";#N/A,#N/A,FALSE,"PYG"}</definedName>
    <definedName name="___________________________________GGF2" hidden="1">{#N/A,#N/A,FALSE,"balance";#N/A,#N/A,FALSE,"PYG"}</definedName>
    <definedName name="___________________________________OCT2" localSheetId="1" hidden="1">{#N/A,#N/A,FALSE,"BL&amp;GPA";#N/A,#N/A,FALSE,"Summary";#N/A,#N/A,FALSE,"hts"}</definedName>
    <definedName name="___________________________________OCT2" localSheetId="4" hidden="1">{#N/A,#N/A,FALSE,"BL&amp;GPA";#N/A,#N/A,FALSE,"Summary";#N/A,#N/A,FALSE,"hts"}</definedName>
    <definedName name="___________________________________OCT2" localSheetId="0" hidden="1">{#N/A,#N/A,FALSE,"BL&amp;GPA";#N/A,#N/A,FALSE,"Summary";#N/A,#N/A,FALSE,"hts"}</definedName>
    <definedName name="___________________________________OCT2" localSheetId="3" hidden="1">{#N/A,#N/A,FALSE,"BL&amp;GPA";#N/A,#N/A,FALSE,"Summary";#N/A,#N/A,FALSE,"hts"}</definedName>
    <definedName name="___________________________________OCT2" localSheetId="2" hidden="1">{#N/A,#N/A,FALSE,"BL&amp;GPA";#N/A,#N/A,FALSE,"Summary";#N/A,#N/A,FALSE,"hts"}</definedName>
    <definedName name="___________________________________OCT2" hidden="1">{#N/A,#N/A,FALSE,"BL&amp;GPA";#N/A,#N/A,FALSE,"Summary";#N/A,#N/A,FALSE,"hts"}</definedName>
    <definedName name="___________________________________ok1" localSheetId="1" hidden="1">{#N/A,#N/A,FALSE,"balance";#N/A,#N/A,FALSE,"PYG"}</definedName>
    <definedName name="___________________________________ok1" localSheetId="4" hidden="1">{#N/A,#N/A,FALSE,"balance";#N/A,#N/A,FALSE,"PYG"}</definedName>
    <definedName name="___________________________________ok1" localSheetId="0" hidden="1">{#N/A,#N/A,FALSE,"balance";#N/A,#N/A,FALSE,"PYG"}</definedName>
    <definedName name="___________________________________ok1" localSheetId="3" hidden="1">{#N/A,#N/A,FALSE,"balance";#N/A,#N/A,FALSE,"PYG"}</definedName>
    <definedName name="___________________________________ok1" localSheetId="2" hidden="1">{#N/A,#N/A,FALSE,"balance";#N/A,#N/A,FALSE,"PYG"}</definedName>
    <definedName name="___________________________________ok1" hidden="1">{#N/A,#N/A,FALSE,"balance";#N/A,#N/A,FALSE,"PYG"}</definedName>
    <definedName name="___________________________________Ok2" localSheetId="1" hidden="1">{#N/A,#N/A,FALSE,"balance";#N/A,#N/A,FALSE,"PYG"}</definedName>
    <definedName name="___________________________________Ok2" localSheetId="4" hidden="1">{#N/A,#N/A,FALSE,"balance";#N/A,#N/A,FALSE,"PYG"}</definedName>
    <definedName name="___________________________________Ok2" localSheetId="0" hidden="1">{#N/A,#N/A,FALSE,"balance";#N/A,#N/A,FALSE,"PYG"}</definedName>
    <definedName name="___________________________________Ok2" localSheetId="3" hidden="1">{#N/A,#N/A,FALSE,"balance";#N/A,#N/A,FALSE,"PYG"}</definedName>
    <definedName name="___________________________________Ok2" localSheetId="2" hidden="1">{#N/A,#N/A,FALSE,"balance";#N/A,#N/A,FALSE,"PYG"}</definedName>
    <definedName name="___________________________________Ok2" hidden="1">{#N/A,#N/A,FALSE,"balance";#N/A,#N/A,FALSE,"PYG"}</definedName>
    <definedName name="___________________________________PyG2" localSheetId="1" hidden="1">{#N/A,#N/A,FALSE,"balance";#N/A,#N/A,FALSE,"PYG"}</definedName>
    <definedName name="___________________________________PyG2" localSheetId="4" hidden="1">{#N/A,#N/A,FALSE,"balance";#N/A,#N/A,FALSE,"PYG"}</definedName>
    <definedName name="___________________________________PyG2" localSheetId="0" hidden="1">{#N/A,#N/A,FALSE,"balance";#N/A,#N/A,FALSE,"PYG"}</definedName>
    <definedName name="___________________________________PyG2" localSheetId="3" hidden="1">{#N/A,#N/A,FALSE,"balance";#N/A,#N/A,FALSE,"PYG"}</definedName>
    <definedName name="___________________________________PyG2" localSheetId="2" hidden="1">{#N/A,#N/A,FALSE,"balance";#N/A,#N/A,FALSE,"PYG"}</definedName>
    <definedName name="___________________________________PyG2" hidden="1">{#N/A,#N/A,FALSE,"balance";#N/A,#N/A,FALSE,"PYG"}</definedName>
    <definedName name="___________________________________PYG3" localSheetId="1" hidden="1">{#N/A,#N/A,FALSE,"balance";#N/A,#N/A,FALSE,"PYG"}</definedName>
    <definedName name="___________________________________PYG3" localSheetId="4" hidden="1">{#N/A,#N/A,FALSE,"balance";#N/A,#N/A,FALSE,"PYG"}</definedName>
    <definedName name="___________________________________PYG3" localSheetId="0" hidden="1">{#N/A,#N/A,FALSE,"balance";#N/A,#N/A,FALSE,"PYG"}</definedName>
    <definedName name="___________________________________PYG3" localSheetId="3" hidden="1">{#N/A,#N/A,FALSE,"balance";#N/A,#N/A,FALSE,"PYG"}</definedName>
    <definedName name="___________________________________PYG3" localSheetId="2" hidden="1">{#N/A,#N/A,FALSE,"balance";#N/A,#N/A,FALSE,"PYG"}</definedName>
    <definedName name="___________________________________PYG3" hidden="1">{#N/A,#N/A,FALSE,"balance";#N/A,#N/A,FALSE,"PYG"}</definedName>
    <definedName name="___________________________________PyG33" localSheetId="1" hidden="1">{#N/A,#N/A,FALSE,"balance";#N/A,#N/A,FALSE,"PYG"}</definedName>
    <definedName name="___________________________________PyG33" localSheetId="4" hidden="1">{#N/A,#N/A,FALSE,"balance";#N/A,#N/A,FALSE,"PYG"}</definedName>
    <definedName name="___________________________________PyG33" localSheetId="0" hidden="1">{#N/A,#N/A,FALSE,"balance";#N/A,#N/A,FALSE,"PYG"}</definedName>
    <definedName name="___________________________________PyG33" localSheetId="3" hidden="1">{#N/A,#N/A,FALSE,"balance";#N/A,#N/A,FALSE,"PYG"}</definedName>
    <definedName name="___________________________________PyG33" localSheetId="2" hidden="1">{#N/A,#N/A,FALSE,"balance";#N/A,#N/A,FALSE,"PYG"}</definedName>
    <definedName name="___________________________________PyG33" hidden="1">{#N/A,#N/A,FALSE,"balance";#N/A,#N/A,FALSE,"PYG"}</definedName>
    <definedName name="__________________________________GGF2" localSheetId="1" hidden="1">{#N/A,#N/A,FALSE,"balance";#N/A,#N/A,FALSE,"PYG"}</definedName>
    <definedName name="__________________________________GGF2" localSheetId="4" hidden="1">{#N/A,#N/A,FALSE,"balance";#N/A,#N/A,FALSE,"PYG"}</definedName>
    <definedName name="__________________________________GGF2" localSheetId="0" hidden="1">{#N/A,#N/A,FALSE,"balance";#N/A,#N/A,FALSE,"PYG"}</definedName>
    <definedName name="__________________________________GGF2" localSheetId="3" hidden="1">{#N/A,#N/A,FALSE,"balance";#N/A,#N/A,FALSE,"PYG"}</definedName>
    <definedName name="__________________________________GGF2" localSheetId="2" hidden="1">{#N/A,#N/A,FALSE,"balance";#N/A,#N/A,FALSE,"PYG"}</definedName>
    <definedName name="__________________________________GGF2" hidden="1">{#N/A,#N/A,FALSE,"balance";#N/A,#N/A,FALSE,"PYG"}</definedName>
    <definedName name="__________________________________OCT2" localSheetId="1" hidden="1">{#N/A,#N/A,FALSE,"BL&amp;GPA";#N/A,#N/A,FALSE,"Summary";#N/A,#N/A,FALSE,"hts"}</definedName>
    <definedName name="__________________________________OCT2" localSheetId="4" hidden="1">{#N/A,#N/A,FALSE,"BL&amp;GPA";#N/A,#N/A,FALSE,"Summary";#N/A,#N/A,FALSE,"hts"}</definedName>
    <definedName name="__________________________________OCT2" localSheetId="0" hidden="1">{#N/A,#N/A,FALSE,"BL&amp;GPA";#N/A,#N/A,FALSE,"Summary";#N/A,#N/A,FALSE,"hts"}</definedName>
    <definedName name="__________________________________OCT2" localSheetId="3" hidden="1">{#N/A,#N/A,FALSE,"BL&amp;GPA";#N/A,#N/A,FALSE,"Summary";#N/A,#N/A,FALSE,"hts"}</definedName>
    <definedName name="__________________________________OCT2" localSheetId="2" hidden="1">{#N/A,#N/A,FALSE,"BL&amp;GPA";#N/A,#N/A,FALSE,"Summary";#N/A,#N/A,FALSE,"hts"}</definedName>
    <definedName name="__________________________________OCT2" hidden="1">{#N/A,#N/A,FALSE,"BL&amp;GPA";#N/A,#N/A,FALSE,"Summary";#N/A,#N/A,FALSE,"hts"}</definedName>
    <definedName name="__________________________________ok1" localSheetId="1" hidden="1">{#N/A,#N/A,FALSE,"balance";#N/A,#N/A,FALSE,"PYG"}</definedName>
    <definedName name="__________________________________ok1" localSheetId="4" hidden="1">{#N/A,#N/A,FALSE,"balance";#N/A,#N/A,FALSE,"PYG"}</definedName>
    <definedName name="__________________________________ok1" localSheetId="0" hidden="1">{#N/A,#N/A,FALSE,"balance";#N/A,#N/A,FALSE,"PYG"}</definedName>
    <definedName name="__________________________________ok1" localSheetId="3" hidden="1">{#N/A,#N/A,FALSE,"balance";#N/A,#N/A,FALSE,"PYG"}</definedName>
    <definedName name="__________________________________ok1" localSheetId="2" hidden="1">{#N/A,#N/A,FALSE,"balance";#N/A,#N/A,FALSE,"PYG"}</definedName>
    <definedName name="__________________________________ok1" hidden="1">{#N/A,#N/A,FALSE,"balance";#N/A,#N/A,FALSE,"PYG"}</definedName>
    <definedName name="__________________________________Ok2" localSheetId="1" hidden="1">{#N/A,#N/A,FALSE,"balance";#N/A,#N/A,FALSE,"PYG"}</definedName>
    <definedName name="__________________________________Ok2" localSheetId="4" hidden="1">{#N/A,#N/A,FALSE,"balance";#N/A,#N/A,FALSE,"PYG"}</definedName>
    <definedName name="__________________________________Ok2" localSheetId="0" hidden="1">{#N/A,#N/A,FALSE,"balance";#N/A,#N/A,FALSE,"PYG"}</definedName>
    <definedName name="__________________________________Ok2" localSheetId="3" hidden="1">{#N/A,#N/A,FALSE,"balance";#N/A,#N/A,FALSE,"PYG"}</definedName>
    <definedName name="__________________________________Ok2" localSheetId="2" hidden="1">{#N/A,#N/A,FALSE,"balance";#N/A,#N/A,FALSE,"PYG"}</definedName>
    <definedName name="__________________________________Ok2" hidden="1">{#N/A,#N/A,FALSE,"balance";#N/A,#N/A,FALSE,"PYG"}</definedName>
    <definedName name="__________________________________PyG2" localSheetId="1" hidden="1">{#N/A,#N/A,FALSE,"balance";#N/A,#N/A,FALSE,"PYG"}</definedName>
    <definedName name="__________________________________PyG2" localSheetId="4" hidden="1">{#N/A,#N/A,FALSE,"balance";#N/A,#N/A,FALSE,"PYG"}</definedName>
    <definedName name="__________________________________PyG2" localSheetId="0" hidden="1">{#N/A,#N/A,FALSE,"balance";#N/A,#N/A,FALSE,"PYG"}</definedName>
    <definedName name="__________________________________PyG2" localSheetId="3" hidden="1">{#N/A,#N/A,FALSE,"balance";#N/A,#N/A,FALSE,"PYG"}</definedName>
    <definedName name="__________________________________PyG2" localSheetId="2" hidden="1">{#N/A,#N/A,FALSE,"balance";#N/A,#N/A,FALSE,"PYG"}</definedName>
    <definedName name="__________________________________PyG2" hidden="1">{#N/A,#N/A,FALSE,"balance";#N/A,#N/A,FALSE,"PYG"}</definedName>
    <definedName name="__________________________________PYG3" localSheetId="1" hidden="1">{#N/A,#N/A,FALSE,"balance";#N/A,#N/A,FALSE,"PYG"}</definedName>
    <definedName name="__________________________________PYG3" localSheetId="4" hidden="1">{#N/A,#N/A,FALSE,"balance";#N/A,#N/A,FALSE,"PYG"}</definedName>
    <definedName name="__________________________________PYG3" localSheetId="0" hidden="1">{#N/A,#N/A,FALSE,"balance";#N/A,#N/A,FALSE,"PYG"}</definedName>
    <definedName name="__________________________________PYG3" localSheetId="3" hidden="1">{#N/A,#N/A,FALSE,"balance";#N/A,#N/A,FALSE,"PYG"}</definedName>
    <definedName name="__________________________________PYG3" localSheetId="2" hidden="1">{#N/A,#N/A,FALSE,"balance";#N/A,#N/A,FALSE,"PYG"}</definedName>
    <definedName name="__________________________________PYG3" hidden="1">{#N/A,#N/A,FALSE,"balance";#N/A,#N/A,FALSE,"PYG"}</definedName>
    <definedName name="__________________________________PyG33" localSheetId="1" hidden="1">{#N/A,#N/A,FALSE,"balance";#N/A,#N/A,FALSE,"PYG"}</definedName>
    <definedName name="__________________________________PyG33" localSheetId="4" hidden="1">{#N/A,#N/A,FALSE,"balance";#N/A,#N/A,FALSE,"PYG"}</definedName>
    <definedName name="__________________________________PyG33" localSheetId="0" hidden="1">{#N/A,#N/A,FALSE,"balance";#N/A,#N/A,FALSE,"PYG"}</definedName>
    <definedName name="__________________________________PyG33" localSheetId="3" hidden="1">{#N/A,#N/A,FALSE,"balance";#N/A,#N/A,FALSE,"PYG"}</definedName>
    <definedName name="__________________________________PyG33" localSheetId="2" hidden="1">{#N/A,#N/A,FALSE,"balance";#N/A,#N/A,FALSE,"PYG"}</definedName>
    <definedName name="__________________________________PyG33" hidden="1">{#N/A,#N/A,FALSE,"balance";#N/A,#N/A,FALSE,"PYG"}</definedName>
    <definedName name="_________________________________GGF2" localSheetId="1" hidden="1">{#N/A,#N/A,FALSE,"balance";#N/A,#N/A,FALSE,"PYG"}</definedName>
    <definedName name="_________________________________GGF2" localSheetId="4" hidden="1">{#N/A,#N/A,FALSE,"balance";#N/A,#N/A,FALSE,"PYG"}</definedName>
    <definedName name="_________________________________GGF2" localSheetId="0" hidden="1">{#N/A,#N/A,FALSE,"balance";#N/A,#N/A,FALSE,"PYG"}</definedName>
    <definedName name="_________________________________GGF2" localSheetId="3" hidden="1">{#N/A,#N/A,FALSE,"balance";#N/A,#N/A,FALSE,"PYG"}</definedName>
    <definedName name="_________________________________GGF2" localSheetId="2" hidden="1">{#N/A,#N/A,FALSE,"balance";#N/A,#N/A,FALSE,"PYG"}</definedName>
    <definedName name="_________________________________GGF2" hidden="1">{#N/A,#N/A,FALSE,"balance";#N/A,#N/A,FALSE,"PYG"}</definedName>
    <definedName name="_________________________________OCT2" localSheetId="1" hidden="1">{#N/A,#N/A,FALSE,"BL&amp;GPA";#N/A,#N/A,FALSE,"Summary";#N/A,#N/A,FALSE,"hts"}</definedName>
    <definedName name="_________________________________OCT2" localSheetId="4" hidden="1">{#N/A,#N/A,FALSE,"BL&amp;GPA";#N/A,#N/A,FALSE,"Summary";#N/A,#N/A,FALSE,"hts"}</definedName>
    <definedName name="_________________________________OCT2" localSheetId="0" hidden="1">{#N/A,#N/A,FALSE,"BL&amp;GPA";#N/A,#N/A,FALSE,"Summary";#N/A,#N/A,FALSE,"hts"}</definedName>
    <definedName name="_________________________________OCT2" localSheetId="3" hidden="1">{#N/A,#N/A,FALSE,"BL&amp;GPA";#N/A,#N/A,FALSE,"Summary";#N/A,#N/A,FALSE,"hts"}</definedName>
    <definedName name="_________________________________OCT2" localSheetId="2" hidden="1">{#N/A,#N/A,FALSE,"BL&amp;GPA";#N/A,#N/A,FALSE,"Summary";#N/A,#N/A,FALSE,"hts"}</definedName>
    <definedName name="_________________________________OCT2" hidden="1">{#N/A,#N/A,FALSE,"BL&amp;GPA";#N/A,#N/A,FALSE,"Summary";#N/A,#N/A,FALSE,"hts"}</definedName>
    <definedName name="_________________________________ok1" localSheetId="1" hidden="1">{#N/A,#N/A,FALSE,"balance";#N/A,#N/A,FALSE,"PYG"}</definedName>
    <definedName name="_________________________________ok1" localSheetId="4" hidden="1">{#N/A,#N/A,FALSE,"balance";#N/A,#N/A,FALSE,"PYG"}</definedName>
    <definedName name="_________________________________ok1" localSheetId="0" hidden="1">{#N/A,#N/A,FALSE,"balance";#N/A,#N/A,FALSE,"PYG"}</definedName>
    <definedName name="_________________________________ok1" localSheetId="3" hidden="1">{#N/A,#N/A,FALSE,"balance";#N/A,#N/A,FALSE,"PYG"}</definedName>
    <definedName name="_________________________________ok1" localSheetId="2" hidden="1">{#N/A,#N/A,FALSE,"balance";#N/A,#N/A,FALSE,"PYG"}</definedName>
    <definedName name="_________________________________ok1" hidden="1">{#N/A,#N/A,FALSE,"balance";#N/A,#N/A,FALSE,"PYG"}</definedName>
    <definedName name="_________________________________Ok2" localSheetId="1" hidden="1">{#N/A,#N/A,FALSE,"balance";#N/A,#N/A,FALSE,"PYG"}</definedName>
    <definedName name="_________________________________Ok2" localSheetId="4" hidden="1">{#N/A,#N/A,FALSE,"balance";#N/A,#N/A,FALSE,"PYG"}</definedName>
    <definedName name="_________________________________Ok2" localSheetId="0" hidden="1">{#N/A,#N/A,FALSE,"balance";#N/A,#N/A,FALSE,"PYG"}</definedName>
    <definedName name="_________________________________Ok2" localSheetId="3" hidden="1">{#N/A,#N/A,FALSE,"balance";#N/A,#N/A,FALSE,"PYG"}</definedName>
    <definedName name="_________________________________Ok2" localSheetId="2" hidden="1">{#N/A,#N/A,FALSE,"balance";#N/A,#N/A,FALSE,"PYG"}</definedName>
    <definedName name="_________________________________Ok2" hidden="1">{#N/A,#N/A,FALSE,"balance";#N/A,#N/A,FALSE,"PYG"}</definedName>
    <definedName name="_________________________________PyG2" localSheetId="1" hidden="1">{#N/A,#N/A,FALSE,"balance";#N/A,#N/A,FALSE,"PYG"}</definedName>
    <definedName name="_________________________________PyG2" localSheetId="4" hidden="1">{#N/A,#N/A,FALSE,"balance";#N/A,#N/A,FALSE,"PYG"}</definedName>
    <definedName name="_________________________________PyG2" localSheetId="0" hidden="1">{#N/A,#N/A,FALSE,"balance";#N/A,#N/A,FALSE,"PYG"}</definedName>
    <definedName name="_________________________________PyG2" localSheetId="3" hidden="1">{#N/A,#N/A,FALSE,"balance";#N/A,#N/A,FALSE,"PYG"}</definedName>
    <definedName name="_________________________________PyG2" localSheetId="2" hidden="1">{#N/A,#N/A,FALSE,"balance";#N/A,#N/A,FALSE,"PYG"}</definedName>
    <definedName name="_________________________________PyG2" hidden="1">{#N/A,#N/A,FALSE,"balance";#N/A,#N/A,FALSE,"PYG"}</definedName>
    <definedName name="_________________________________PYG3" localSheetId="1" hidden="1">{#N/A,#N/A,FALSE,"balance";#N/A,#N/A,FALSE,"PYG"}</definedName>
    <definedName name="_________________________________PYG3" localSheetId="4" hidden="1">{#N/A,#N/A,FALSE,"balance";#N/A,#N/A,FALSE,"PYG"}</definedName>
    <definedName name="_________________________________PYG3" localSheetId="0" hidden="1">{#N/A,#N/A,FALSE,"balance";#N/A,#N/A,FALSE,"PYG"}</definedName>
    <definedName name="_________________________________PYG3" localSheetId="3" hidden="1">{#N/A,#N/A,FALSE,"balance";#N/A,#N/A,FALSE,"PYG"}</definedName>
    <definedName name="_________________________________PYG3" localSheetId="2" hidden="1">{#N/A,#N/A,FALSE,"balance";#N/A,#N/A,FALSE,"PYG"}</definedName>
    <definedName name="_________________________________PYG3" hidden="1">{#N/A,#N/A,FALSE,"balance";#N/A,#N/A,FALSE,"PYG"}</definedName>
    <definedName name="_________________________________PyG33" localSheetId="1" hidden="1">{#N/A,#N/A,FALSE,"balance";#N/A,#N/A,FALSE,"PYG"}</definedName>
    <definedName name="_________________________________PyG33" localSheetId="4" hidden="1">{#N/A,#N/A,FALSE,"balance";#N/A,#N/A,FALSE,"PYG"}</definedName>
    <definedName name="_________________________________PyG33" localSheetId="0" hidden="1">{#N/A,#N/A,FALSE,"balance";#N/A,#N/A,FALSE,"PYG"}</definedName>
    <definedName name="_________________________________PyG33" localSheetId="3" hidden="1">{#N/A,#N/A,FALSE,"balance";#N/A,#N/A,FALSE,"PYG"}</definedName>
    <definedName name="_________________________________PyG33" localSheetId="2" hidden="1">{#N/A,#N/A,FALSE,"balance";#N/A,#N/A,FALSE,"PYG"}</definedName>
    <definedName name="_________________________________PyG33" hidden="1">{#N/A,#N/A,FALSE,"balance";#N/A,#N/A,FALSE,"PYG"}</definedName>
    <definedName name="________________________________GGF2" localSheetId="1" hidden="1">{#N/A,#N/A,FALSE,"balance";#N/A,#N/A,FALSE,"PYG"}</definedName>
    <definedName name="________________________________GGF2" localSheetId="4" hidden="1">{#N/A,#N/A,FALSE,"balance";#N/A,#N/A,FALSE,"PYG"}</definedName>
    <definedName name="________________________________GGF2" localSheetId="0" hidden="1">{#N/A,#N/A,FALSE,"balance";#N/A,#N/A,FALSE,"PYG"}</definedName>
    <definedName name="________________________________GGF2" localSheetId="3" hidden="1">{#N/A,#N/A,FALSE,"balance";#N/A,#N/A,FALSE,"PYG"}</definedName>
    <definedName name="________________________________GGF2" localSheetId="2" hidden="1">{#N/A,#N/A,FALSE,"balance";#N/A,#N/A,FALSE,"PYG"}</definedName>
    <definedName name="________________________________GGF2" hidden="1">{#N/A,#N/A,FALSE,"balance";#N/A,#N/A,FALSE,"PYG"}</definedName>
    <definedName name="________________________________OCT2" localSheetId="1" hidden="1">{#N/A,#N/A,FALSE,"BL&amp;GPA";#N/A,#N/A,FALSE,"Summary";#N/A,#N/A,FALSE,"hts"}</definedName>
    <definedName name="________________________________OCT2" localSheetId="4" hidden="1">{#N/A,#N/A,FALSE,"BL&amp;GPA";#N/A,#N/A,FALSE,"Summary";#N/A,#N/A,FALSE,"hts"}</definedName>
    <definedName name="________________________________OCT2" localSheetId="0" hidden="1">{#N/A,#N/A,FALSE,"BL&amp;GPA";#N/A,#N/A,FALSE,"Summary";#N/A,#N/A,FALSE,"hts"}</definedName>
    <definedName name="________________________________OCT2" localSheetId="3" hidden="1">{#N/A,#N/A,FALSE,"BL&amp;GPA";#N/A,#N/A,FALSE,"Summary";#N/A,#N/A,FALSE,"hts"}</definedName>
    <definedName name="________________________________OCT2" localSheetId="2" hidden="1">{#N/A,#N/A,FALSE,"BL&amp;GPA";#N/A,#N/A,FALSE,"Summary";#N/A,#N/A,FALSE,"hts"}</definedName>
    <definedName name="________________________________OCT2" hidden="1">{#N/A,#N/A,FALSE,"BL&amp;GPA";#N/A,#N/A,FALSE,"Summary";#N/A,#N/A,FALSE,"hts"}</definedName>
    <definedName name="________________________________ok1" localSheetId="1" hidden="1">{#N/A,#N/A,FALSE,"balance";#N/A,#N/A,FALSE,"PYG"}</definedName>
    <definedName name="________________________________ok1" localSheetId="4" hidden="1">{#N/A,#N/A,FALSE,"balance";#N/A,#N/A,FALSE,"PYG"}</definedName>
    <definedName name="________________________________ok1" localSheetId="0" hidden="1">{#N/A,#N/A,FALSE,"balance";#N/A,#N/A,FALSE,"PYG"}</definedName>
    <definedName name="________________________________ok1" localSheetId="3" hidden="1">{#N/A,#N/A,FALSE,"balance";#N/A,#N/A,FALSE,"PYG"}</definedName>
    <definedName name="________________________________ok1" localSheetId="2" hidden="1">{#N/A,#N/A,FALSE,"balance";#N/A,#N/A,FALSE,"PYG"}</definedName>
    <definedName name="________________________________ok1" hidden="1">{#N/A,#N/A,FALSE,"balance";#N/A,#N/A,FALSE,"PYG"}</definedName>
    <definedName name="________________________________Ok2" localSheetId="1" hidden="1">{#N/A,#N/A,FALSE,"balance";#N/A,#N/A,FALSE,"PYG"}</definedName>
    <definedName name="________________________________Ok2" localSheetId="4" hidden="1">{#N/A,#N/A,FALSE,"balance";#N/A,#N/A,FALSE,"PYG"}</definedName>
    <definedName name="________________________________Ok2" localSheetId="0" hidden="1">{#N/A,#N/A,FALSE,"balance";#N/A,#N/A,FALSE,"PYG"}</definedName>
    <definedName name="________________________________Ok2" localSheetId="3" hidden="1">{#N/A,#N/A,FALSE,"balance";#N/A,#N/A,FALSE,"PYG"}</definedName>
    <definedName name="________________________________Ok2" localSheetId="2" hidden="1">{#N/A,#N/A,FALSE,"balance";#N/A,#N/A,FALSE,"PYG"}</definedName>
    <definedName name="________________________________Ok2" hidden="1">{#N/A,#N/A,FALSE,"balance";#N/A,#N/A,FALSE,"PYG"}</definedName>
    <definedName name="________________________________PyG2" localSheetId="1" hidden="1">{#N/A,#N/A,FALSE,"balance";#N/A,#N/A,FALSE,"PYG"}</definedName>
    <definedName name="________________________________PyG2" localSheetId="4" hidden="1">{#N/A,#N/A,FALSE,"balance";#N/A,#N/A,FALSE,"PYG"}</definedName>
    <definedName name="________________________________PyG2" localSheetId="0" hidden="1">{#N/A,#N/A,FALSE,"balance";#N/A,#N/A,FALSE,"PYG"}</definedName>
    <definedName name="________________________________PyG2" localSheetId="3" hidden="1">{#N/A,#N/A,FALSE,"balance";#N/A,#N/A,FALSE,"PYG"}</definedName>
    <definedName name="________________________________PyG2" localSheetId="2" hidden="1">{#N/A,#N/A,FALSE,"balance";#N/A,#N/A,FALSE,"PYG"}</definedName>
    <definedName name="________________________________PyG2" hidden="1">{#N/A,#N/A,FALSE,"balance";#N/A,#N/A,FALSE,"PYG"}</definedName>
    <definedName name="________________________________PYG3" localSheetId="1" hidden="1">{#N/A,#N/A,FALSE,"balance";#N/A,#N/A,FALSE,"PYG"}</definedName>
    <definedName name="________________________________PYG3" localSheetId="4" hidden="1">{#N/A,#N/A,FALSE,"balance";#N/A,#N/A,FALSE,"PYG"}</definedName>
    <definedName name="________________________________PYG3" localSheetId="0" hidden="1">{#N/A,#N/A,FALSE,"balance";#N/A,#N/A,FALSE,"PYG"}</definedName>
    <definedName name="________________________________PYG3" localSheetId="3" hidden="1">{#N/A,#N/A,FALSE,"balance";#N/A,#N/A,FALSE,"PYG"}</definedName>
    <definedName name="________________________________PYG3" localSheetId="2" hidden="1">{#N/A,#N/A,FALSE,"balance";#N/A,#N/A,FALSE,"PYG"}</definedName>
    <definedName name="________________________________PYG3" hidden="1">{#N/A,#N/A,FALSE,"balance";#N/A,#N/A,FALSE,"PYG"}</definedName>
    <definedName name="________________________________PyG33" localSheetId="1" hidden="1">{#N/A,#N/A,FALSE,"balance";#N/A,#N/A,FALSE,"PYG"}</definedName>
    <definedName name="________________________________PyG33" localSheetId="4" hidden="1">{#N/A,#N/A,FALSE,"balance";#N/A,#N/A,FALSE,"PYG"}</definedName>
    <definedName name="________________________________PyG33" localSheetId="0" hidden="1">{#N/A,#N/A,FALSE,"balance";#N/A,#N/A,FALSE,"PYG"}</definedName>
    <definedName name="________________________________PyG33" localSheetId="3" hidden="1">{#N/A,#N/A,FALSE,"balance";#N/A,#N/A,FALSE,"PYG"}</definedName>
    <definedName name="________________________________PyG33" localSheetId="2" hidden="1">{#N/A,#N/A,FALSE,"balance";#N/A,#N/A,FALSE,"PYG"}</definedName>
    <definedName name="________________________________PyG33" hidden="1">{#N/A,#N/A,FALSE,"balance";#N/A,#N/A,FALSE,"PYG"}</definedName>
    <definedName name="_______________________________GGF2" localSheetId="1" hidden="1">{#N/A,#N/A,FALSE,"balance";#N/A,#N/A,FALSE,"PYG"}</definedName>
    <definedName name="_______________________________GGF2" localSheetId="4" hidden="1">{#N/A,#N/A,FALSE,"balance";#N/A,#N/A,FALSE,"PYG"}</definedName>
    <definedName name="_______________________________GGF2" localSheetId="0" hidden="1">{#N/A,#N/A,FALSE,"balance";#N/A,#N/A,FALSE,"PYG"}</definedName>
    <definedName name="_______________________________GGF2" localSheetId="3" hidden="1">{#N/A,#N/A,FALSE,"balance";#N/A,#N/A,FALSE,"PYG"}</definedName>
    <definedName name="_______________________________GGF2" localSheetId="2" hidden="1">{#N/A,#N/A,FALSE,"balance";#N/A,#N/A,FALSE,"PYG"}</definedName>
    <definedName name="_______________________________GGF2" hidden="1">{#N/A,#N/A,FALSE,"balance";#N/A,#N/A,FALSE,"PYG"}</definedName>
    <definedName name="_______________________________OCT2" localSheetId="1" hidden="1">{#N/A,#N/A,FALSE,"BL&amp;GPA";#N/A,#N/A,FALSE,"Summary";#N/A,#N/A,FALSE,"hts"}</definedName>
    <definedName name="_______________________________OCT2" localSheetId="4" hidden="1">{#N/A,#N/A,FALSE,"BL&amp;GPA";#N/A,#N/A,FALSE,"Summary";#N/A,#N/A,FALSE,"hts"}</definedName>
    <definedName name="_______________________________OCT2" localSheetId="0" hidden="1">{#N/A,#N/A,FALSE,"BL&amp;GPA";#N/A,#N/A,FALSE,"Summary";#N/A,#N/A,FALSE,"hts"}</definedName>
    <definedName name="_______________________________OCT2" localSheetId="3" hidden="1">{#N/A,#N/A,FALSE,"BL&amp;GPA";#N/A,#N/A,FALSE,"Summary";#N/A,#N/A,FALSE,"hts"}</definedName>
    <definedName name="_______________________________OCT2" localSheetId="2" hidden="1">{#N/A,#N/A,FALSE,"BL&amp;GPA";#N/A,#N/A,FALSE,"Summary";#N/A,#N/A,FALSE,"hts"}</definedName>
    <definedName name="_______________________________OCT2" hidden="1">{#N/A,#N/A,FALSE,"BL&amp;GPA";#N/A,#N/A,FALSE,"Summary";#N/A,#N/A,FALSE,"hts"}</definedName>
    <definedName name="_______________________________ok1" localSheetId="1" hidden="1">{#N/A,#N/A,FALSE,"balance";#N/A,#N/A,FALSE,"PYG"}</definedName>
    <definedName name="_______________________________ok1" localSheetId="4" hidden="1">{#N/A,#N/A,FALSE,"balance";#N/A,#N/A,FALSE,"PYG"}</definedName>
    <definedName name="_______________________________ok1" localSheetId="0" hidden="1">{#N/A,#N/A,FALSE,"balance";#N/A,#N/A,FALSE,"PYG"}</definedName>
    <definedName name="_______________________________ok1" localSheetId="3" hidden="1">{#N/A,#N/A,FALSE,"balance";#N/A,#N/A,FALSE,"PYG"}</definedName>
    <definedName name="_______________________________ok1" localSheetId="2" hidden="1">{#N/A,#N/A,FALSE,"balance";#N/A,#N/A,FALSE,"PYG"}</definedName>
    <definedName name="_______________________________ok1" hidden="1">{#N/A,#N/A,FALSE,"balance";#N/A,#N/A,FALSE,"PYG"}</definedName>
    <definedName name="_______________________________Ok2" localSheetId="1" hidden="1">{#N/A,#N/A,FALSE,"balance";#N/A,#N/A,FALSE,"PYG"}</definedName>
    <definedName name="_______________________________Ok2" localSheetId="4" hidden="1">{#N/A,#N/A,FALSE,"balance";#N/A,#N/A,FALSE,"PYG"}</definedName>
    <definedName name="_______________________________Ok2" localSheetId="0" hidden="1">{#N/A,#N/A,FALSE,"balance";#N/A,#N/A,FALSE,"PYG"}</definedName>
    <definedName name="_______________________________Ok2" localSheetId="3" hidden="1">{#N/A,#N/A,FALSE,"balance";#N/A,#N/A,FALSE,"PYG"}</definedName>
    <definedName name="_______________________________Ok2" localSheetId="2" hidden="1">{#N/A,#N/A,FALSE,"balance";#N/A,#N/A,FALSE,"PYG"}</definedName>
    <definedName name="_______________________________Ok2" hidden="1">{#N/A,#N/A,FALSE,"balance";#N/A,#N/A,FALSE,"PYG"}</definedName>
    <definedName name="_______________________________PyG2" localSheetId="1" hidden="1">{#N/A,#N/A,FALSE,"balance";#N/A,#N/A,FALSE,"PYG"}</definedName>
    <definedName name="_______________________________PyG2" localSheetId="4" hidden="1">{#N/A,#N/A,FALSE,"balance";#N/A,#N/A,FALSE,"PYG"}</definedName>
    <definedName name="_______________________________PyG2" localSheetId="0" hidden="1">{#N/A,#N/A,FALSE,"balance";#N/A,#N/A,FALSE,"PYG"}</definedName>
    <definedName name="_______________________________PyG2" localSheetId="3" hidden="1">{#N/A,#N/A,FALSE,"balance";#N/A,#N/A,FALSE,"PYG"}</definedName>
    <definedName name="_______________________________PyG2" localSheetId="2" hidden="1">{#N/A,#N/A,FALSE,"balance";#N/A,#N/A,FALSE,"PYG"}</definedName>
    <definedName name="_______________________________PyG2" hidden="1">{#N/A,#N/A,FALSE,"balance";#N/A,#N/A,FALSE,"PYG"}</definedName>
    <definedName name="_______________________________PYG3" localSheetId="1" hidden="1">{#N/A,#N/A,FALSE,"balance";#N/A,#N/A,FALSE,"PYG"}</definedName>
    <definedName name="_______________________________PYG3" localSheetId="4" hidden="1">{#N/A,#N/A,FALSE,"balance";#N/A,#N/A,FALSE,"PYG"}</definedName>
    <definedName name="_______________________________PYG3" localSheetId="0" hidden="1">{#N/A,#N/A,FALSE,"balance";#N/A,#N/A,FALSE,"PYG"}</definedName>
    <definedName name="_______________________________PYG3" localSheetId="3" hidden="1">{#N/A,#N/A,FALSE,"balance";#N/A,#N/A,FALSE,"PYG"}</definedName>
    <definedName name="_______________________________PYG3" localSheetId="2" hidden="1">{#N/A,#N/A,FALSE,"balance";#N/A,#N/A,FALSE,"PYG"}</definedName>
    <definedName name="_______________________________PYG3" hidden="1">{#N/A,#N/A,FALSE,"balance";#N/A,#N/A,FALSE,"PYG"}</definedName>
    <definedName name="_______________________________PyG33" localSheetId="1" hidden="1">{#N/A,#N/A,FALSE,"balance";#N/A,#N/A,FALSE,"PYG"}</definedName>
    <definedName name="_______________________________PyG33" localSheetId="4" hidden="1">{#N/A,#N/A,FALSE,"balance";#N/A,#N/A,FALSE,"PYG"}</definedName>
    <definedName name="_______________________________PyG33" localSheetId="0" hidden="1">{#N/A,#N/A,FALSE,"balance";#N/A,#N/A,FALSE,"PYG"}</definedName>
    <definedName name="_______________________________PyG33" localSheetId="3" hidden="1">{#N/A,#N/A,FALSE,"balance";#N/A,#N/A,FALSE,"PYG"}</definedName>
    <definedName name="_______________________________PyG33" localSheetId="2" hidden="1">{#N/A,#N/A,FALSE,"balance";#N/A,#N/A,FALSE,"PYG"}</definedName>
    <definedName name="_______________________________PyG33" hidden="1">{#N/A,#N/A,FALSE,"balance";#N/A,#N/A,FALSE,"PYG"}</definedName>
    <definedName name="______________________________GGF2" localSheetId="1" hidden="1">{#N/A,#N/A,FALSE,"balance";#N/A,#N/A,FALSE,"PYG"}</definedName>
    <definedName name="______________________________GGF2" localSheetId="4" hidden="1">{#N/A,#N/A,FALSE,"balance";#N/A,#N/A,FALSE,"PYG"}</definedName>
    <definedName name="______________________________GGF2" localSheetId="0" hidden="1">{#N/A,#N/A,FALSE,"balance";#N/A,#N/A,FALSE,"PYG"}</definedName>
    <definedName name="______________________________GGF2" localSheetId="3" hidden="1">{#N/A,#N/A,FALSE,"balance";#N/A,#N/A,FALSE,"PYG"}</definedName>
    <definedName name="______________________________GGF2" localSheetId="2" hidden="1">{#N/A,#N/A,FALSE,"balance";#N/A,#N/A,FALSE,"PYG"}</definedName>
    <definedName name="______________________________GGF2" hidden="1">{#N/A,#N/A,FALSE,"balance";#N/A,#N/A,FALSE,"PYG"}</definedName>
    <definedName name="______________________________OCT2" localSheetId="1" hidden="1">{#N/A,#N/A,FALSE,"BL&amp;GPA";#N/A,#N/A,FALSE,"Summary";#N/A,#N/A,FALSE,"hts"}</definedName>
    <definedName name="______________________________OCT2" localSheetId="4" hidden="1">{#N/A,#N/A,FALSE,"BL&amp;GPA";#N/A,#N/A,FALSE,"Summary";#N/A,#N/A,FALSE,"hts"}</definedName>
    <definedName name="______________________________OCT2" localSheetId="0" hidden="1">{#N/A,#N/A,FALSE,"BL&amp;GPA";#N/A,#N/A,FALSE,"Summary";#N/A,#N/A,FALSE,"hts"}</definedName>
    <definedName name="______________________________OCT2" localSheetId="3" hidden="1">{#N/A,#N/A,FALSE,"BL&amp;GPA";#N/A,#N/A,FALSE,"Summary";#N/A,#N/A,FALSE,"hts"}</definedName>
    <definedName name="______________________________OCT2" localSheetId="2" hidden="1">{#N/A,#N/A,FALSE,"BL&amp;GPA";#N/A,#N/A,FALSE,"Summary";#N/A,#N/A,FALSE,"hts"}</definedName>
    <definedName name="______________________________OCT2" hidden="1">{#N/A,#N/A,FALSE,"BL&amp;GPA";#N/A,#N/A,FALSE,"Summary";#N/A,#N/A,FALSE,"hts"}</definedName>
    <definedName name="______________________________ok1" localSheetId="1" hidden="1">{#N/A,#N/A,FALSE,"balance";#N/A,#N/A,FALSE,"PYG"}</definedName>
    <definedName name="______________________________ok1" localSheetId="4" hidden="1">{#N/A,#N/A,FALSE,"balance";#N/A,#N/A,FALSE,"PYG"}</definedName>
    <definedName name="______________________________ok1" localSheetId="0" hidden="1">{#N/A,#N/A,FALSE,"balance";#N/A,#N/A,FALSE,"PYG"}</definedName>
    <definedName name="______________________________ok1" localSheetId="3" hidden="1">{#N/A,#N/A,FALSE,"balance";#N/A,#N/A,FALSE,"PYG"}</definedName>
    <definedName name="______________________________ok1" localSheetId="2" hidden="1">{#N/A,#N/A,FALSE,"balance";#N/A,#N/A,FALSE,"PYG"}</definedName>
    <definedName name="______________________________ok1" hidden="1">{#N/A,#N/A,FALSE,"balance";#N/A,#N/A,FALSE,"PYG"}</definedName>
    <definedName name="______________________________Ok2" localSheetId="1" hidden="1">{#N/A,#N/A,FALSE,"balance";#N/A,#N/A,FALSE,"PYG"}</definedName>
    <definedName name="______________________________Ok2" localSheetId="4" hidden="1">{#N/A,#N/A,FALSE,"balance";#N/A,#N/A,FALSE,"PYG"}</definedName>
    <definedName name="______________________________Ok2" localSheetId="0" hidden="1">{#N/A,#N/A,FALSE,"balance";#N/A,#N/A,FALSE,"PYG"}</definedName>
    <definedName name="______________________________Ok2" localSheetId="3" hidden="1">{#N/A,#N/A,FALSE,"balance";#N/A,#N/A,FALSE,"PYG"}</definedName>
    <definedName name="______________________________Ok2" localSheetId="2" hidden="1">{#N/A,#N/A,FALSE,"balance";#N/A,#N/A,FALSE,"PYG"}</definedName>
    <definedName name="______________________________Ok2" hidden="1">{#N/A,#N/A,FALSE,"balance";#N/A,#N/A,FALSE,"PYG"}</definedName>
    <definedName name="______________________________PyG2" localSheetId="1" hidden="1">{#N/A,#N/A,FALSE,"balance";#N/A,#N/A,FALSE,"PYG"}</definedName>
    <definedName name="______________________________PyG2" localSheetId="4" hidden="1">{#N/A,#N/A,FALSE,"balance";#N/A,#N/A,FALSE,"PYG"}</definedName>
    <definedName name="______________________________PyG2" localSheetId="0" hidden="1">{#N/A,#N/A,FALSE,"balance";#N/A,#N/A,FALSE,"PYG"}</definedName>
    <definedName name="______________________________PyG2" localSheetId="3" hidden="1">{#N/A,#N/A,FALSE,"balance";#N/A,#N/A,FALSE,"PYG"}</definedName>
    <definedName name="______________________________PyG2" localSheetId="2" hidden="1">{#N/A,#N/A,FALSE,"balance";#N/A,#N/A,FALSE,"PYG"}</definedName>
    <definedName name="______________________________PyG2" hidden="1">{#N/A,#N/A,FALSE,"balance";#N/A,#N/A,FALSE,"PYG"}</definedName>
    <definedName name="______________________________PYG3" localSheetId="1" hidden="1">{#N/A,#N/A,FALSE,"balance";#N/A,#N/A,FALSE,"PYG"}</definedName>
    <definedName name="______________________________PYG3" localSheetId="4" hidden="1">{#N/A,#N/A,FALSE,"balance";#N/A,#N/A,FALSE,"PYG"}</definedName>
    <definedName name="______________________________PYG3" localSheetId="0" hidden="1">{#N/A,#N/A,FALSE,"balance";#N/A,#N/A,FALSE,"PYG"}</definedName>
    <definedName name="______________________________PYG3" localSheetId="3" hidden="1">{#N/A,#N/A,FALSE,"balance";#N/A,#N/A,FALSE,"PYG"}</definedName>
    <definedName name="______________________________PYG3" localSheetId="2" hidden="1">{#N/A,#N/A,FALSE,"balance";#N/A,#N/A,FALSE,"PYG"}</definedName>
    <definedName name="______________________________PYG3" hidden="1">{#N/A,#N/A,FALSE,"balance";#N/A,#N/A,FALSE,"PYG"}</definedName>
    <definedName name="______________________________PyG33" localSheetId="1" hidden="1">{#N/A,#N/A,FALSE,"balance";#N/A,#N/A,FALSE,"PYG"}</definedName>
    <definedName name="______________________________PyG33" localSheetId="4" hidden="1">{#N/A,#N/A,FALSE,"balance";#N/A,#N/A,FALSE,"PYG"}</definedName>
    <definedName name="______________________________PyG33" localSheetId="0" hidden="1">{#N/A,#N/A,FALSE,"balance";#N/A,#N/A,FALSE,"PYG"}</definedName>
    <definedName name="______________________________PyG33" localSheetId="3" hidden="1">{#N/A,#N/A,FALSE,"balance";#N/A,#N/A,FALSE,"PYG"}</definedName>
    <definedName name="______________________________PyG33" localSheetId="2" hidden="1">{#N/A,#N/A,FALSE,"balance";#N/A,#N/A,FALSE,"PYG"}</definedName>
    <definedName name="______________________________PyG33" hidden="1">{#N/A,#N/A,FALSE,"balance";#N/A,#N/A,FALSE,"PYG"}</definedName>
    <definedName name="_____________________________GGF2" localSheetId="1" hidden="1">{#N/A,#N/A,FALSE,"balance";#N/A,#N/A,FALSE,"PYG"}</definedName>
    <definedName name="_____________________________GGF2" localSheetId="4" hidden="1">{#N/A,#N/A,FALSE,"balance";#N/A,#N/A,FALSE,"PYG"}</definedName>
    <definedName name="_____________________________GGF2" localSheetId="0" hidden="1">{#N/A,#N/A,FALSE,"balance";#N/A,#N/A,FALSE,"PYG"}</definedName>
    <definedName name="_____________________________GGF2" localSheetId="3" hidden="1">{#N/A,#N/A,FALSE,"balance";#N/A,#N/A,FALSE,"PYG"}</definedName>
    <definedName name="_____________________________GGF2" localSheetId="2" hidden="1">{#N/A,#N/A,FALSE,"balance";#N/A,#N/A,FALSE,"PYG"}</definedName>
    <definedName name="_____________________________GGF2" hidden="1">{#N/A,#N/A,FALSE,"balance";#N/A,#N/A,FALSE,"PYG"}</definedName>
    <definedName name="_____________________________OCT2" localSheetId="1" hidden="1">{#N/A,#N/A,FALSE,"BL&amp;GPA";#N/A,#N/A,FALSE,"Summary";#N/A,#N/A,FALSE,"hts"}</definedName>
    <definedName name="_____________________________OCT2" localSheetId="4" hidden="1">{#N/A,#N/A,FALSE,"BL&amp;GPA";#N/A,#N/A,FALSE,"Summary";#N/A,#N/A,FALSE,"hts"}</definedName>
    <definedName name="_____________________________OCT2" localSheetId="0" hidden="1">{#N/A,#N/A,FALSE,"BL&amp;GPA";#N/A,#N/A,FALSE,"Summary";#N/A,#N/A,FALSE,"hts"}</definedName>
    <definedName name="_____________________________OCT2" localSheetId="3" hidden="1">{#N/A,#N/A,FALSE,"BL&amp;GPA";#N/A,#N/A,FALSE,"Summary";#N/A,#N/A,FALSE,"hts"}</definedName>
    <definedName name="_____________________________OCT2" localSheetId="2" hidden="1">{#N/A,#N/A,FALSE,"BL&amp;GPA";#N/A,#N/A,FALSE,"Summary";#N/A,#N/A,FALSE,"hts"}</definedName>
    <definedName name="_____________________________OCT2" hidden="1">{#N/A,#N/A,FALSE,"BL&amp;GPA";#N/A,#N/A,FALSE,"Summary";#N/A,#N/A,FALSE,"hts"}</definedName>
    <definedName name="_____________________________ok1" localSheetId="1" hidden="1">{#N/A,#N/A,FALSE,"balance";#N/A,#N/A,FALSE,"PYG"}</definedName>
    <definedName name="_____________________________ok1" localSheetId="4" hidden="1">{#N/A,#N/A,FALSE,"balance";#N/A,#N/A,FALSE,"PYG"}</definedName>
    <definedName name="_____________________________ok1" localSheetId="0" hidden="1">{#N/A,#N/A,FALSE,"balance";#N/A,#N/A,FALSE,"PYG"}</definedName>
    <definedName name="_____________________________ok1" localSheetId="3" hidden="1">{#N/A,#N/A,FALSE,"balance";#N/A,#N/A,FALSE,"PYG"}</definedName>
    <definedName name="_____________________________ok1" localSheetId="2" hidden="1">{#N/A,#N/A,FALSE,"balance";#N/A,#N/A,FALSE,"PYG"}</definedName>
    <definedName name="_____________________________ok1" hidden="1">{#N/A,#N/A,FALSE,"balance";#N/A,#N/A,FALSE,"PYG"}</definedName>
    <definedName name="_____________________________Ok2" localSheetId="1" hidden="1">{#N/A,#N/A,FALSE,"balance";#N/A,#N/A,FALSE,"PYG"}</definedName>
    <definedName name="_____________________________Ok2" localSheetId="4" hidden="1">{#N/A,#N/A,FALSE,"balance";#N/A,#N/A,FALSE,"PYG"}</definedName>
    <definedName name="_____________________________Ok2" localSheetId="0" hidden="1">{#N/A,#N/A,FALSE,"balance";#N/A,#N/A,FALSE,"PYG"}</definedName>
    <definedName name="_____________________________Ok2" localSheetId="3" hidden="1">{#N/A,#N/A,FALSE,"balance";#N/A,#N/A,FALSE,"PYG"}</definedName>
    <definedName name="_____________________________Ok2" localSheetId="2" hidden="1">{#N/A,#N/A,FALSE,"balance";#N/A,#N/A,FALSE,"PYG"}</definedName>
    <definedName name="_____________________________Ok2" hidden="1">{#N/A,#N/A,FALSE,"balance";#N/A,#N/A,FALSE,"PYG"}</definedName>
    <definedName name="_____________________________PyG2" localSheetId="1" hidden="1">{#N/A,#N/A,FALSE,"balance";#N/A,#N/A,FALSE,"PYG"}</definedName>
    <definedName name="_____________________________PyG2" localSheetId="4" hidden="1">{#N/A,#N/A,FALSE,"balance";#N/A,#N/A,FALSE,"PYG"}</definedName>
    <definedName name="_____________________________PyG2" localSheetId="0" hidden="1">{#N/A,#N/A,FALSE,"balance";#N/A,#N/A,FALSE,"PYG"}</definedName>
    <definedName name="_____________________________PyG2" localSheetId="3" hidden="1">{#N/A,#N/A,FALSE,"balance";#N/A,#N/A,FALSE,"PYG"}</definedName>
    <definedName name="_____________________________PyG2" localSheetId="2" hidden="1">{#N/A,#N/A,FALSE,"balance";#N/A,#N/A,FALSE,"PYG"}</definedName>
    <definedName name="_____________________________PyG2" hidden="1">{#N/A,#N/A,FALSE,"balance";#N/A,#N/A,FALSE,"PYG"}</definedName>
    <definedName name="_____________________________PYG3" localSheetId="1" hidden="1">{#N/A,#N/A,FALSE,"balance";#N/A,#N/A,FALSE,"PYG"}</definedName>
    <definedName name="_____________________________PYG3" localSheetId="4" hidden="1">{#N/A,#N/A,FALSE,"balance";#N/A,#N/A,FALSE,"PYG"}</definedName>
    <definedName name="_____________________________PYG3" localSheetId="0" hidden="1">{#N/A,#N/A,FALSE,"balance";#N/A,#N/A,FALSE,"PYG"}</definedName>
    <definedName name="_____________________________PYG3" localSheetId="3" hidden="1">{#N/A,#N/A,FALSE,"balance";#N/A,#N/A,FALSE,"PYG"}</definedName>
    <definedName name="_____________________________PYG3" localSheetId="2" hidden="1">{#N/A,#N/A,FALSE,"balance";#N/A,#N/A,FALSE,"PYG"}</definedName>
    <definedName name="_____________________________PYG3" hidden="1">{#N/A,#N/A,FALSE,"balance";#N/A,#N/A,FALSE,"PYG"}</definedName>
    <definedName name="_____________________________PyG33" localSheetId="1" hidden="1">{#N/A,#N/A,FALSE,"balance";#N/A,#N/A,FALSE,"PYG"}</definedName>
    <definedName name="_____________________________PyG33" localSheetId="4" hidden="1">{#N/A,#N/A,FALSE,"balance";#N/A,#N/A,FALSE,"PYG"}</definedName>
    <definedName name="_____________________________PyG33" localSheetId="0" hidden="1">{#N/A,#N/A,FALSE,"balance";#N/A,#N/A,FALSE,"PYG"}</definedName>
    <definedName name="_____________________________PyG33" localSheetId="3" hidden="1">{#N/A,#N/A,FALSE,"balance";#N/A,#N/A,FALSE,"PYG"}</definedName>
    <definedName name="_____________________________PyG33" localSheetId="2" hidden="1">{#N/A,#N/A,FALSE,"balance";#N/A,#N/A,FALSE,"PYG"}</definedName>
    <definedName name="_____________________________PyG33" hidden="1">{#N/A,#N/A,FALSE,"balance";#N/A,#N/A,FALSE,"PYG"}</definedName>
    <definedName name="____________________________GGF2" localSheetId="1" hidden="1">{#N/A,#N/A,FALSE,"balance";#N/A,#N/A,FALSE,"PYG"}</definedName>
    <definedName name="____________________________GGF2" localSheetId="4" hidden="1">{#N/A,#N/A,FALSE,"balance";#N/A,#N/A,FALSE,"PYG"}</definedName>
    <definedName name="____________________________GGF2" localSheetId="0" hidden="1">{#N/A,#N/A,FALSE,"balance";#N/A,#N/A,FALSE,"PYG"}</definedName>
    <definedName name="____________________________GGF2" localSheetId="3" hidden="1">{#N/A,#N/A,FALSE,"balance";#N/A,#N/A,FALSE,"PYG"}</definedName>
    <definedName name="____________________________GGF2" localSheetId="2" hidden="1">{#N/A,#N/A,FALSE,"balance";#N/A,#N/A,FALSE,"PYG"}</definedName>
    <definedName name="____________________________GGF2" hidden="1">{#N/A,#N/A,FALSE,"balance";#N/A,#N/A,FALSE,"PYG"}</definedName>
    <definedName name="____________________________OCT2" localSheetId="1" hidden="1">{#N/A,#N/A,FALSE,"BL&amp;GPA";#N/A,#N/A,FALSE,"Summary";#N/A,#N/A,FALSE,"hts"}</definedName>
    <definedName name="____________________________OCT2" localSheetId="4" hidden="1">{#N/A,#N/A,FALSE,"BL&amp;GPA";#N/A,#N/A,FALSE,"Summary";#N/A,#N/A,FALSE,"hts"}</definedName>
    <definedName name="____________________________OCT2" localSheetId="0" hidden="1">{#N/A,#N/A,FALSE,"BL&amp;GPA";#N/A,#N/A,FALSE,"Summary";#N/A,#N/A,FALSE,"hts"}</definedName>
    <definedName name="____________________________OCT2" localSheetId="3" hidden="1">{#N/A,#N/A,FALSE,"BL&amp;GPA";#N/A,#N/A,FALSE,"Summary";#N/A,#N/A,FALSE,"hts"}</definedName>
    <definedName name="____________________________OCT2" localSheetId="2" hidden="1">{#N/A,#N/A,FALSE,"BL&amp;GPA";#N/A,#N/A,FALSE,"Summary";#N/A,#N/A,FALSE,"hts"}</definedName>
    <definedName name="____________________________OCT2" hidden="1">{#N/A,#N/A,FALSE,"BL&amp;GPA";#N/A,#N/A,FALSE,"Summary";#N/A,#N/A,FALSE,"hts"}</definedName>
    <definedName name="____________________________ok1" localSheetId="1" hidden="1">{#N/A,#N/A,FALSE,"balance";#N/A,#N/A,FALSE,"PYG"}</definedName>
    <definedName name="____________________________ok1" localSheetId="4" hidden="1">{#N/A,#N/A,FALSE,"balance";#N/A,#N/A,FALSE,"PYG"}</definedName>
    <definedName name="____________________________ok1" localSheetId="0" hidden="1">{#N/A,#N/A,FALSE,"balance";#N/A,#N/A,FALSE,"PYG"}</definedName>
    <definedName name="____________________________ok1" localSheetId="3" hidden="1">{#N/A,#N/A,FALSE,"balance";#N/A,#N/A,FALSE,"PYG"}</definedName>
    <definedName name="____________________________ok1" localSheetId="2" hidden="1">{#N/A,#N/A,FALSE,"balance";#N/A,#N/A,FALSE,"PYG"}</definedName>
    <definedName name="____________________________ok1" hidden="1">{#N/A,#N/A,FALSE,"balance";#N/A,#N/A,FALSE,"PYG"}</definedName>
    <definedName name="____________________________Ok2" localSheetId="1" hidden="1">{#N/A,#N/A,FALSE,"balance";#N/A,#N/A,FALSE,"PYG"}</definedName>
    <definedName name="____________________________Ok2" localSheetId="4" hidden="1">{#N/A,#N/A,FALSE,"balance";#N/A,#N/A,FALSE,"PYG"}</definedName>
    <definedName name="____________________________Ok2" localSheetId="0" hidden="1">{#N/A,#N/A,FALSE,"balance";#N/A,#N/A,FALSE,"PYG"}</definedName>
    <definedName name="____________________________Ok2" localSheetId="3" hidden="1">{#N/A,#N/A,FALSE,"balance";#N/A,#N/A,FALSE,"PYG"}</definedName>
    <definedName name="____________________________Ok2" localSheetId="2" hidden="1">{#N/A,#N/A,FALSE,"balance";#N/A,#N/A,FALSE,"PYG"}</definedName>
    <definedName name="____________________________Ok2" hidden="1">{#N/A,#N/A,FALSE,"balance";#N/A,#N/A,FALSE,"PYG"}</definedName>
    <definedName name="____________________________PyG2" localSheetId="1" hidden="1">{#N/A,#N/A,FALSE,"balance";#N/A,#N/A,FALSE,"PYG"}</definedName>
    <definedName name="____________________________PyG2" localSheetId="4" hidden="1">{#N/A,#N/A,FALSE,"balance";#N/A,#N/A,FALSE,"PYG"}</definedName>
    <definedName name="____________________________PyG2" localSheetId="0" hidden="1">{#N/A,#N/A,FALSE,"balance";#N/A,#N/A,FALSE,"PYG"}</definedName>
    <definedName name="____________________________PyG2" localSheetId="3" hidden="1">{#N/A,#N/A,FALSE,"balance";#N/A,#N/A,FALSE,"PYG"}</definedName>
    <definedName name="____________________________PyG2" localSheetId="2" hidden="1">{#N/A,#N/A,FALSE,"balance";#N/A,#N/A,FALSE,"PYG"}</definedName>
    <definedName name="____________________________PyG2" hidden="1">{#N/A,#N/A,FALSE,"balance";#N/A,#N/A,FALSE,"PYG"}</definedName>
    <definedName name="____________________________PYG3" localSheetId="1" hidden="1">{#N/A,#N/A,FALSE,"balance";#N/A,#N/A,FALSE,"PYG"}</definedName>
    <definedName name="____________________________PYG3" localSheetId="4" hidden="1">{#N/A,#N/A,FALSE,"balance";#N/A,#N/A,FALSE,"PYG"}</definedName>
    <definedName name="____________________________PYG3" localSheetId="0" hidden="1">{#N/A,#N/A,FALSE,"balance";#N/A,#N/A,FALSE,"PYG"}</definedName>
    <definedName name="____________________________PYG3" localSheetId="3" hidden="1">{#N/A,#N/A,FALSE,"balance";#N/A,#N/A,FALSE,"PYG"}</definedName>
    <definedName name="____________________________PYG3" localSheetId="2" hidden="1">{#N/A,#N/A,FALSE,"balance";#N/A,#N/A,FALSE,"PYG"}</definedName>
    <definedName name="____________________________PYG3" hidden="1">{#N/A,#N/A,FALSE,"balance";#N/A,#N/A,FALSE,"PYG"}</definedName>
    <definedName name="____________________________PyG33" localSheetId="1" hidden="1">{#N/A,#N/A,FALSE,"balance";#N/A,#N/A,FALSE,"PYG"}</definedName>
    <definedName name="____________________________PyG33" localSheetId="4" hidden="1">{#N/A,#N/A,FALSE,"balance";#N/A,#N/A,FALSE,"PYG"}</definedName>
    <definedName name="____________________________PyG33" localSheetId="0" hidden="1">{#N/A,#N/A,FALSE,"balance";#N/A,#N/A,FALSE,"PYG"}</definedName>
    <definedName name="____________________________PyG33" localSheetId="3" hidden="1">{#N/A,#N/A,FALSE,"balance";#N/A,#N/A,FALSE,"PYG"}</definedName>
    <definedName name="____________________________PyG33" localSheetId="2" hidden="1">{#N/A,#N/A,FALSE,"balance";#N/A,#N/A,FALSE,"PYG"}</definedName>
    <definedName name="____________________________PyG33" hidden="1">{#N/A,#N/A,FALSE,"balance";#N/A,#N/A,FALSE,"PYG"}</definedName>
    <definedName name="___________________________GGF2" localSheetId="1" hidden="1">{#N/A,#N/A,FALSE,"balance";#N/A,#N/A,FALSE,"PYG"}</definedName>
    <definedName name="___________________________GGF2" localSheetId="4" hidden="1">{#N/A,#N/A,FALSE,"balance";#N/A,#N/A,FALSE,"PYG"}</definedName>
    <definedName name="___________________________GGF2" localSheetId="0" hidden="1">{#N/A,#N/A,FALSE,"balance";#N/A,#N/A,FALSE,"PYG"}</definedName>
    <definedName name="___________________________GGF2" localSheetId="3" hidden="1">{#N/A,#N/A,FALSE,"balance";#N/A,#N/A,FALSE,"PYG"}</definedName>
    <definedName name="___________________________GGF2" localSheetId="2" hidden="1">{#N/A,#N/A,FALSE,"balance";#N/A,#N/A,FALSE,"PYG"}</definedName>
    <definedName name="___________________________GGF2" hidden="1">{#N/A,#N/A,FALSE,"balance";#N/A,#N/A,FALSE,"PYG"}</definedName>
    <definedName name="___________________________OCT2" localSheetId="1" hidden="1">{#N/A,#N/A,FALSE,"BL&amp;GPA";#N/A,#N/A,FALSE,"Summary";#N/A,#N/A,FALSE,"hts"}</definedName>
    <definedName name="___________________________OCT2" localSheetId="4" hidden="1">{#N/A,#N/A,FALSE,"BL&amp;GPA";#N/A,#N/A,FALSE,"Summary";#N/A,#N/A,FALSE,"hts"}</definedName>
    <definedName name="___________________________OCT2" localSheetId="0" hidden="1">{#N/A,#N/A,FALSE,"BL&amp;GPA";#N/A,#N/A,FALSE,"Summary";#N/A,#N/A,FALSE,"hts"}</definedName>
    <definedName name="___________________________OCT2" localSheetId="3" hidden="1">{#N/A,#N/A,FALSE,"BL&amp;GPA";#N/A,#N/A,FALSE,"Summary";#N/A,#N/A,FALSE,"hts"}</definedName>
    <definedName name="___________________________OCT2" localSheetId="2" hidden="1">{#N/A,#N/A,FALSE,"BL&amp;GPA";#N/A,#N/A,FALSE,"Summary";#N/A,#N/A,FALSE,"hts"}</definedName>
    <definedName name="___________________________OCT2" hidden="1">{#N/A,#N/A,FALSE,"BL&amp;GPA";#N/A,#N/A,FALSE,"Summary";#N/A,#N/A,FALSE,"hts"}</definedName>
    <definedName name="___________________________ok1" localSheetId="1" hidden="1">{#N/A,#N/A,FALSE,"balance";#N/A,#N/A,FALSE,"PYG"}</definedName>
    <definedName name="___________________________ok1" localSheetId="4" hidden="1">{#N/A,#N/A,FALSE,"balance";#N/A,#N/A,FALSE,"PYG"}</definedName>
    <definedName name="___________________________ok1" localSheetId="0" hidden="1">{#N/A,#N/A,FALSE,"balance";#N/A,#N/A,FALSE,"PYG"}</definedName>
    <definedName name="___________________________ok1" localSheetId="3" hidden="1">{#N/A,#N/A,FALSE,"balance";#N/A,#N/A,FALSE,"PYG"}</definedName>
    <definedName name="___________________________ok1" localSheetId="2" hidden="1">{#N/A,#N/A,FALSE,"balance";#N/A,#N/A,FALSE,"PYG"}</definedName>
    <definedName name="___________________________ok1" hidden="1">{#N/A,#N/A,FALSE,"balance";#N/A,#N/A,FALSE,"PYG"}</definedName>
    <definedName name="___________________________Ok2" localSheetId="1" hidden="1">{#N/A,#N/A,FALSE,"balance";#N/A,#N/A,FALSE,"PYG"}</definedName>
    <definedName name="___________________________Ok2" localSheetId="4" hidden="1">{#N/A,#N/A,FALSE,"balance";#N/A,#N/A,FALSE,"PYG"}</definedName>
    <definedName name="___________________________Ok2" localSheetId="0" hidden="1">{#N/A,#N/A,FALSE,"balance";#N/A,#N/A,FALSE,"PYG"}</definedName>
    <definedName name="___________________________Ok2" localSheetId="3" hidden="1">{#N/A,#N/A,FALSE,"balance";#N/A,#N/A,FALSE,"PYG"}</definedName>
    <definedName name="___________________________Ok2" localSheetId="2" hidden="1">{#N/A,#N/A,FALSE,"balance";#N/A,#N/A,FALSE,"PYG"}</definedName>
    <definedName name="___________________________Ok2" hidden="1">{#N/A,#N/A,FALSE,"balance";#N/A,#N/A,FALSE,"PYG"}</definedName>
    <definedName name="___________________________PyG2" localSheetId="1" hidden="1">{#N/A,#N/A,FALSE,"balance";#N/A,#N/A,FALSE,"PYG"}</definedName>
    <definedName name="___________________________PyG2" localSheetId="4" hidden="1">{#N/A,#N/A,FALSE,"balance";#N/A,#N/A,FALSE,"PYG"}</definedName>
    <definedName name="___________________________PyG2" localSheetId="0" hidden="1">{#N/A,#N/A,FALSE,"balance";#N/A,#N/A,FALSE,"PYG"}</definedName>
    <definedName name="___________________________PyG2" localSheetId="3" hidden="1">{#N/A,#N/A,FALSE,"balance";#N/A,#N/A,FALSE,"PYG"}</definedName>
    <definedName name="___________________________PyG2" localSheetId="2" hidden="1">{#N/A,#N/A,FALSE,"balance";#N/A,#N/A,FALSE,"PYG"}</definedName>
    <definedName name="___________________________PyG2" hidden="1">{#N/A,#N/A,FALSE,"balance";#N/A,#N/A,FALSE,"PYG"}</definedName>
    <definedName name="___________________________PYG3" localSheetId="1" hidden="1">{#N/A,#N/A,FALSE,"balance";#N/A,#N/A,FALSE,"PYG"}</definedName>
    <definedName name="___________________________PYG3" localSheetId="4" hidden="1">{#N/A,#N/A,FALSE,"balance";#N/A,#N/A,FALSE,"PYG"}</definedName>
    <definedName name="___________________________PYG3" localSheetId="0" hidden="1">{#N/A,#N/A,FALSE,"balance";#N/A,#N/A,FALSE,"PYG"}</definedName>
    <definedName name="___________________________PYG3" localSheetId="3" hidden="1">{#N/A,#N/A,FALSE,"balance";#N/A,#N/A,FALSE,"PYG"}</definedName>
    <definedName name="___________________________PYG3" localSheetId="2" hidden="1">{#N/A,#N/A,FALSE,"balance";#N/A,#N/A,FALSE,"PYG"}</definedName>
    <definedName name="___________________________PYG3" hidden="1">{#N/A,#N/A,FALSE,"balance";#N/A,#N/A,FALSE,"PYG"}</definedName>
    <definedName name="___________________________PyG33" localSheetId="1" hidden="1">{#N/A,#N/A,FALSE,"balance";#N/A,#N/A,FALSE,"PYG"}</definedName>
    <definedName name="___________________________PyG33" localSheetId="4" hidden="1">{#N/A,#N/A,FALSE,"balance";#N/A,#N/A,FALSE,"PYG"}</definedName>
    <definedName name="___________________________PyG33" localSheetId="0" hidden="1">{#N/A,#N/A,FALSE,"balance";#N/A,#N/A,FALSE,"PYG"}</definedName>
    <definedName name="___________________________PyG33" localSheetId="3" hidden="1">{#N/A,#N/A,FALSE,"balance";#N/A,#N/A,FALSE,"PYG"}</definedName>
    <definedName name="___________________________PyG33" localSheetId="2" hidden="1">{#N/A,#N/A,FALSE,"balance";#N/A,#N/A,FALSE,"PYG"}</definedName>
    <definedName name="___________________________PyG33" hidden="1">{#N/A,#N/A,FALSE,"balance";#N/A,#N/A,FALSE,"PYG"}</definedName>
    <definedName name="__________________________GGF2" localSheetId="1" hidden="1">{#N/A,#N/A,FALSE,"balance";#N/A,#N/A,FALSE,"PYG"}</definedName>
    <definedName name="__________________________GGF2" localSheetId="4" hidden="1">{#N/A,#N/A,FALSE,"balance";#N/A,#N/A,FALSE,"PYG"}</definedName>
    <definedName name="__________________________GGF2" localSheetId="0" hidden="1">{#N/A,#N/A,FALSE,"balance";#N/A,#N/A,FALSE,"PYG"}</definedName>
    <definedName name="__________________________GGF2" localSheetId="3" hidden="1">{#N/A,#N/A,FALSE,"balance";#N/A,#N/A,FALSE,"PYG"}</definedName>
    <definedName name="__________________________GGF2" localSheetId="2" hidden="1">{#N/A,#N/A,FALSE,"balance";#N/A,#N/A,FALSE,"PYG"}</definedName>
    <definedName name="__________________________GGF2" hidden="1">{#N/A,#N/A,FALSE,"balance";#N/A,#N/A,FALSE,"PYG"}</definedName>
    <definedName name="__________________________OCT2" localSheetId="1" hidden="1">{#N/A,#N/A,FALSE,"BL&amp;GPA";#N/A,#N/A,FALSE,"Summary";#N/A,#N/A,FALSE,"hts"}</definedName>
    <definedName name="__________________________OCT2" localSheetId="4" hidden="1">{#N/A,#N/A,FALSE,"BL&amp;GPA";#N/A,#N/A,FALSE,"Summary";#N/A,#N/A,FALSE,"hts"}</definedName>
    <definedName name="__________________________OCT2" localSheetId="0" hidden="1">{#N/A,#N/A,FALSE,"BL&amp;GPA";#N/A,#N/A,FALSE,"Summary";#N/A,#N/A,FALSE,"hts"}</definedName>
    <definedName name="__________________________OCT2" localSheetId="3" hidden="1">{#N/A,#N/A,FALSE,"BL&amp;GPA";#N/A,#N/A,FALSE,"Summary";#N/A,#N/A,FALSE,"hts"}</definedName>
    <definedName name="__________________________OCT2" localSheetId="2" hidden="1">{#N/A,#N/A,FALSE,"BL&amp;GPA";#N/A,#N/A,FALSE,"Summary";#N/A,#N/A,FALSE,"hts"}</definedName>
    <definedName name="__________________________OCT2" hidden="1">{#N/A,#N/A,FALSE,"BL&amp;GPA";#N/A,#N/A,FALSE,"Summary";#N/A,#N/A,FALSE,"hts"}</definedName>
    <definedName name="__________________________ok1" localSheetId="1" hidden="1">{#N/A,#N/A,FALSE,"balance";#N/A,#N/A,FALSE,"PYG"}</definedName>
    <definedName name="__________________________ok1" localSheetId="4" hidden="1">{#N/A,#N/A,FALSE,"balance";#N/A,#N/A,FALSE,"PYG"}</definedName>
    <definedName name="__________________________ok1" localSheetId="0" hidden="1">{#N/A,#N/A,FALSE,"balance";#N/A,#N/A,FALSE,"PYG"}</definedName>
    <definedName name="__________________________ok1" localSheetId="3" hidden="1">{#N/A,#N/A,FALSE,"balance";#N/A,#N/A,FALSE,"PYG"}</definedName>
    <definedName name="__________________________ok1" localSheetId="2" hidden="1">{#N/A,#N/A,FALSE,"balance";#N/A,#N/A,FALSE,"PYG"}</definedName>
    <definedName name="__________________________ok1" hidden="1">{#N/A,#N/A,FALSE,"balance";#N/A,#N/A,FALSE,"PYG"}</definedName>
    <definedName name="__________________________Ok2" localSheetId="1" hidden="1">{#N/A,#N/A,FALSE,"balance";#N/A,#N/A,FALSE,"PYG"}</definedName>
    <definedName name="__________________________Ok2" localSheetId="4" hidden="1">{#N/A,#N/A,FALSE,"balance";#N/A,#N/A,FALSE,"PYG"}</definedName>
    <definedName name="__________________________Ok2" localSheetId="0" hidden="1">{#N/A,#N/A,FALSE,"balance";#N/A,#N/A,FALSE,"PYG"}</definedName>
    <definedName name="__________________________Ok2" localSheetId="3" hidden="1">{#N/A,#N/A,FALSE,"balance";#N/A,#N/A,FALSE,"PYG"}</definedName>
    <definedName name="__________________________Ok2" localSheetId="2" hidden="1">{#N/A,#N/A,FALSE,"balance";#N/A,#N/A,FALSE,"PYG"}</definedName>
    <definedName name="__________________________Ok2" hidden="1">{#N/A,#N/A,FALSE,"balance";#N/A,#N/A,FALSE,"PYG"}</definedName>
    <definedName name="__________________________PyG2" localSheetId="1" hidden="1">{#N/A,#N/A,FALSE,"balance";#N/A,#N/A,FALSE,"PYG"}</definedName>
    <definedName name="__________________________PyG2" localSheetId="4" hidden="1">{#N/A,#N/A,FALSE,"balance";#N/A,#N/A,FALSE,"PYG"}</definedName>
    <definedName name="__________________________PyG2" localSheetId="0" hidden="1">{#N/A,#N/A,FALSE,"balance";#N/A,#N/A,FALSE,"PYG"}</definedName>
    <definedName name="__________________________PyG2" localSheetId="3" hidden="1">{#N/A,#N/A,FALSE,"balance";#N/A,#N/A,FALSE,"PYG"}</definedName>
    <definedName name="__________________________PyG2" localSheetId="2" hidden="1">{#N/A,#N/A,FALSE,"balance";#N/A,#N/A,FALSE,"PYG"}</definedName>
    <definedName name="__________________________PyG2" hidden="1">{#N/A,#N/A,FALSE,"balance";#N/A,#N/A,FALSE,"PYG"}</definedName>
    <definedName name="__________________________PYG3" localSheetId="1" hidden="1">{#N/A,#N/A,FALSE,"balance";#N/A,#N/A,FALSE,"PYG"}</definedName>
    <definedName name="__________________________PYG3" localSheetId="4" hidden="1">{#N/A,#N/A,FALSE,"balance";#N/A,#N/A,FALSE,"PYG"}</definedName>
    <definedName name="__________________________PYG3" localSheetId="0" hidden="1">{#N/A,#N/A,FALSE,"balance";#N/A,#N/A,FALSE,"PYG"}</definedName>
    <definedName name="__________________________PYG3" localSheetId="3" hidden="1">{#N/A,#N/A,FALSE,"balance";#N/A,#N/A,FALSE,"PYG"}</definedName>
    <definedName name="__________________________PYG3" localSheetId="2" hidden="1">{#N/A,#N/A,FALSE,"balance";#N/A,#N/A,FALSE,"PYG"}</definedName>
    <definedName name="__________________________PYG3" hidden="1">{#N/A,#N/A,FALSE,"balance";#N/A,#N/A,FALSE,"PYG"}</definedName>
    <definedName name="__________________________PyG33" localSheetId="1" hidden="1">{#N/A,#N/A,FALSE,"balance";#N/A,#N/A,FALSE,"PYG"}</definedName>
    <definedName name="__________________________PyG33" localSheetId="4" hidden="1">{#N/A,#N/A,FALSE,"balance";#N/A,#N/A,FALSE,"PYG"}</definedName>
    <definedName name="__________________________PyG33" localSheetId="0" hidden="1">{#N/A,#N/A,FALSE,"balance";#N/A,#N/A,FALSE,"PYG"}</definedName>
    <definedName name="__________________________PyG33" localSheetId="3" hidden="1">{#N/A,#N/A,FALSE,"balance";#N/A,#N/A,FALSE,"PYG"}</definedName>
    <definedName name="__________________________PyG33" localSheetId="2" hidden="1">{#N/A,#N/A,FALSE,"balance";#N/A,#N/A,FALSE,"PYG"}</definedName>
    <definedName name="__________________________PyG33" hidden="1">{#N/A,#N/A,FALSE,"balance";#N/A,#N/A,FALSE,"PYG"}</definedName>
    <definedName name="_________________________GGF2" localSheetId="1" hidden="1">{#N/A,#N/A,FALSE,"balance";#N/A,#N/A,FALSE,"PYG"}</definedName>
    <definedName name="_________________________GGF2" localSheetId="4" hidden="1">{#N/A,#N/A,FALSE,"balance";#N/A,#N/A,FALSE,"PYG"}</definedName>
    <definedName name="_________________________GGF2" localSheetId="0" hidden="1">{#N/A,#N/A,FALSE,"balance";#N/A,#N/A,FALSE,"PYG"}</definedName>
    <definedName name="_________________________GGF2" localSheetId="3" hidden="1">{#N/A,#N/A,FALSE,"balance";#N/A,#N/A,FALSE,"PYG"}</definedName>
    <definedName name="_________________________GGF2" localSheetId="2" hidden="1">{#N/A,#N/A,FALSE,"balance";#N/A,#N/A,FALSE,"PYG"}</definedName>
    <definedName name="_________________________GGF2" hidden="1">{#N/A,#N/A,FALSE,"balance";#N/A,#N/A,FALSE,"PYG"}</definedName>
    <definedName name="_________________________OCT2" localSheetId="1" hidden="1">{#N/A,#N/A,FALSE,"BL&amp;GPA";#N/A,#N/A,FALSE,"Summary";#N/A,#N/A,FALSE,"hts"}</definedName>
    <definedName name="_________________________OCT2" localSheetId="4" hidden="1">{#N/A,#N/A,FALSE,"BL&amp;GPA";#N/A,#N/A,FALSE,"Summary";#N/A,#N/A,FALSE,"hts"}</definedName>
    <definedName name="_________________________OCT2" localSheetId="0" hidden="1">{#N/A,#N/A,FALSE,"BL&amp;GPA";#N/A,#N/A,FALSE,"Summary";#N/A,#N/A,FALSE,"hts"}</definedName>
    <definedName name="_________________________OCT2" localSheetId="3" hidden="1">{#N/A,#N/A,FALSE,"BL&amp;GPA";#N/A,#N/A,FALSE,"Summary";#N/A,#N/A,FALSE,"hts"}</definedName>
    <definedName name="_________________________OCT2" localSheetId="2" hidden="1">{#N/A,#N/A,FALSE,"BL&amp;GPA";#N/A,#N/A,FALSE,"Summary";#N/A,#N/A,FALSE,"hts"}</definedName>
    <definedName name="_________________________OCT2" hidden="1">{#N/A,#N/A,FALSE,"BL&amp;GPA";#N/A,#N/A,FALSE,"Summary";#N/A,#N/A,FALSE,"hts"}</definedName>
    <definedName name="_________________________ok1" localSheetId="1" hidden="1">{#N/A,#N/A,FALSE,"balance";#N/A,#N/A,FALSE,"PYG"}</definedName>
    <definedName name="_________________________ok1" localSheetId="4" hidden="1">{#N/A,#N/A,FALSE,"balance";#N/A,#N/A,FALSE,"PYG"}</definedName>
    <definedName name="_________________________ok1" localSheetId="0" hidden="1">{#N/A,#N/A,FALSE,"balance";#N/A,#N/A,FALSE,"PYG"}</definedName>
    <definedName name="_________________________ok1" localSheetId="3" hidden="1">{#N/A,#N/A,FALSE,"balance";#N/A,#N/A,FALSE,"PYG"}</definedName>
    <definedName name="_________________________ok1" localSheetId="2" hidden="1">{#N/A,#N/A,FALSE,"balance";#N/A,#N/A,FALSE,"PYG"}</definedName>
    <definedName name="_________________________ok1" hidden="1">{#N/A,#N/A,FALSE,"balance";#N/A,#N/A,FALSE,"PYG"}</definedName>
    <definedName name="_________________________Ok2" localSheetId="1" hidden="1">{#N/A,#N/A,FALSE,"balance";#N/A,#N/A,FALSE,"PYG"}</definedName>
    <definedName name="_________________________Ok2" localSheetId="4" hidden="1">{#N/A,#N/A,FALSE,"balance";#N/A,#N/A,FALSE,"PYG"}</definedName>
    <definedName name="_________________________Ok2" localSheetId="0" hidden="1">{#N/A,#N/A,FALSE,"balance";#N/A,#N/A,FALSE,"PYG"}</definedName>
    <definedName name="_________________________Ok2" localSheetId="3" hidden="1">{#N/A,#N/A,FALSE,"balance";#N/A,#N/A,FALSE,"PYG"}</definedName>
    <definedName name="_________________________Ok2" localSheetId="2" hidden="1">{#N/A,#N/A,FALSE,"balance";#N/A,#N/A,FALSE,"PYG"}</definedName>
    <definedName name="_________________________Ok2" hidden="1">{#N/A,#N/A,FALSE,"balance";#N/A,#N/A,FALSE,"PYG"}</definedName>
    <definedName name="_________________________PyG2" localSheetId="1" hidden="1">{#N/A,#N/A,FALSE,"balance";#N/A,#N/A,FALSE,"PYG"}</definedName>
    <definedName name="_________________________PyG2" localSheetId="4" hidden="1">{#N/A,#N/A,FALSE,"balance";#N/A,#N/A,FALSE,"PYG"}</definedName>
    <definedName name="_________________________PyG2" localSheetId="0" hidden="1">{#N/A,#N/A,FALSE,"balance";#N/A,#N/A,FALSE,"PYG"}</definedName>
    <definedName name="_________________________PyG2" localSheetId="3" hidden="1">{#N/A,#N/A,FALSE,"balance";#N/A,#N/A,FALSE,"PYG"}</definedName>
    <definedName name="_________________________PyG2" localSheetId="2" hidden="1">{#N/A,#N/A,FALSE,"balance";#N/A,#N/A,FALSE,"PYG"}</definedName>
    <definedName name="_________________________PyG2" hidden="1">{#N/A,#N/A,FALSE,"balance";#N/A,#N/A,FALSE,"PYG"}</definedName>
    <definedName name="_________________________PYG3" localSheetId="1" hidden="1">{#N/A,#N/A,FALSE,"balance";#N/A,#N/A,FALSE,"PYG"}</definedName>
    <definedName name="_________________________PYG3" localSheetId="4" hidden="1">{#N/A,#N/A,FALSE,"balance";#N/A,#N/A,FALSE,"PYG"}</definedName>
    <definedName name="_________________________PYG3" localSheetId="0" hidden="1">{#N/A,#N/A,FALSE,"balance";#N/A,#N/A,FALSE,"PYG"}</definedName>
    <definedName name="_________________________PYG3" localSheetId="3" hidden="1">{#N/A,#N/A,FALSE,"balance";#N/A,#N/A,FALSE,"PYG"}</definedName>
    <definedName name="_________________________PYG3" localSheetId="2" hidden="1">{#N/A,#N/A,FALSE,"balance";#N/A,#N/A,FALSE,"PYG"}</definedName>
    <definedName name="_________________________PYG3" hidden="1">{#N/A,#N/A,FALSE,"balance";#N/A,#N/A,FALSE,"PYG"}</definedName>
    <definedName name="_________________________PyG33" localSheetId="1" hidden="1">{#N/A,#N/A,FALSE,"balance";#N/A,#N/A,FALSE,"PYG"}</definedName>
    <definedName name="_________________________PyG33" localSheetId="4" hidden="1">{#N/A,#N/A,FALSE,"balance";#N/A,#N/A,FALSE,"PYG"}</definedName>
    <definedName name="_________________________PyG33" localSheetId="0" hidden="1">{#N/A,#N/A,FALSE,"balance";#N/A,#N/A,FALSE,"PYG"}</definedName>
    <definedName name="_________________________PyG33" localSheetId="3" hidden="1">{#N/A,#N/A,FALSE,"balance";#N/A,#N/A,FALSE,"PYG"}</definedName>
    <definedName name="_________________________PyG33" localSheetId="2" hidden="1">{#N/A,#N/A,FALSE,"balance";#N/A,#N/A,FALSE,"PYG"}</definedName>
    <definedName name="_________________________PyG33" hidden="1">{#N/A,#N/A,FALSE,"balance";#N/A,#N/A,FALSE,"PYG"}</definedName>
    <definedName name="________________________GGF2" localSheetId="1" hidden="1">{#N/A,#N/A,FALSE,"balance";#N/A,#N/A,FALSE,"PYG"}</definedName>
    <definedName name="________________________GGF2" localSheetId="4" hidden="1">{#N/A,#N/A,FALSE,"balance";#N/A,#N/A,FALSE,"PYG"}</definedName>
    <definedName name="________________________GGF2" localSheetId="0" hidden="1">{#N/A,#N/A,FALSE,"balance";#N/A,#N/A,FALSE,"PYG"}</definedName>
    <definedName name="________________________GGF2" localSheetId="3" hidden="1">{#N/A,#N/A,FALSE,"balance";#N/A,#N/A,FALSE,"PYG"}</definedName>
    <definedName name="________________________GGF2" localSheetId="2" hidden="1">{#N/A,#N/A,FALSE,"balance";#N/A,#N/A,FALSE,"PYG"}</definedName>
    <definedName name="________________________GGF2" hidden="1">{#N/A,#N/A,FALSE,"balance";#N/A,#N/A,FALSE,"PYG"}</definedName>
    <definedName name="________________________OCT2" localSheetId="1" hidden="1">{#N/A,#N/A,FALSE,"BL&amp;GPA";#N/A,#N/A,FALSE,"Summary";#N/A,#N/A,FALSE,"hts"}</definedName>
    <definedName name="________________________OCT2" localSheetId="4" hidden="1">{#N/A,#N/A,FALSE,"BL&amp;GPA";#N/A,#N/A,FALSE,"Summary";#N/A,#N/A,FALSE,"hts"}</definedName>
    <definedName name="________________________OCT2" localSheetId="0" hidden="1">{#N/A,#N/A,FALSE,"BL&amp;GPA";#N/A,#N/A,FALSE,"Summary";#N/A,#N/A,FALSE,"hts"}</definedName>
    <definedName name="________________________OCT2" localSheetId="3" hidden="1">{#N/A,#N/A,FALSE,"BL&amp;GPA";#N/A,#N/A,FALSE,"Summary";#N/A,#N/A,FALSE,"hts"}</definedName>
    <definedName name="________________________OCT2" localSheetId="2" hidden="1">{#N/A,#N/A,FALSE,"BL&amp;GPA";#N/A,#N/A,FALSE,"Summary";#N/A,#N/A,FALSE,"hts"}</definedName>
    <definedName name="________________________OCT2" hidden="1">{#N/A,#N/A,FALSE,"BL&amp;GPA";#N/A,#N/A,FALSE,"Summary";#N/A,#N/A,FALSE,"hts"}</definedName>
    <definedName name="________________________ok1" localSheetId="1" hidden="1">{#N/A,#N/A,FALSE,"balance";#N/A,#N/A,FALSE,"PYG"}</definedName>
    <definedName name="________________________ok1" localSheetId="4" hidden="1">{#N/A,#N/A,FALSE,"balance";#N/A,#N/A,FALSE,"PYG"}</definedName>
    <definedName name="________________________ok1" localSheetId="0" hidden="1">{#N/A,#N/A,FALSE,"balance";#N/A,#N/A,FALSE,"PYG"}</definedName>
    <definedName name="________________________ok1" localSheetId="3" hidden="1">{#N/A,#N/A,FALSE,"balance";#N/A,#N/A,FALSE,"PYG"}</definedName>
    <definedName name="________________________ok1" localSheetId="2" hidden="1">{#N/A,#N/A,FALSE,"balance";#N/A,#N/A,FALSE,"PYG"}</definedName>
    <definedName name="________________________ok1" hidden="1">{#N/A,#N/A,FALSE,"balance";#N/A,#N/A,FALSE,"PYG"}</definedName>
    <definedName name="________________________Ok2" localSheetId="1" hidden="1">{#N/A,#N/A,FALSE,"balance";#N/A,#N/A,FALSE,"PYG"}</definedName>
    <definedName name="________________________Ok2" localSheetId="4" hidden="1">{#N/A,#N/A,FALSE,"balance";#N/A,#N/A,FALSE,"PYG"}</definedName>
    <definedName name="________________________Ok2" localSheetId="0" hidden="1">{#N/A,#N/A,FALSE,"balance";#N/A,#N/A,FALSE,"PYG"}</definedName>
    <definedName name="________________________Ok2" localSheetId="3" hidden="1">{#N/A,#N/A,FALSE,"balance";#N/A,#N/A,FALSE,"PYG"}</definedName>
    <definedName name="________________________Ok2" localSheetId="2" hidden="1">{#N/A,#N/A,FALSE,"balance";#N/A,#N/A,FALSE,"PYG"}</definedName>
    <definedName name="________________________Ok2" hidden="1">{#N/A,#N/A,FALSE,"balance";#N/A,#N/A,FALSE,"PYG"}</definedName>
    <definedName name="________________________PyG2" localSheetId="1" hidden="1">{#N/A,#N/A,FALSE,"balance";#N/A,#N/A,FALSE,"PYG"}</definedName>
    <definedName name="________________________PyG2" localSheetId="4" hidden="1">{#N/A,#N/A,FALSE,"balance";#N/A,#N/A,FALSE,"PYG"}</definedName>
    <definedName name="________________________PyG2" localSheetId="0" hidden="1">{#N/A,#N/A,FALSE,"balance";#N/A,#N/A,FALSE,"PYG"}</definedName>
    <definedName name="________________________PyG2" localSheetId="3" hidden="1">{#N/A,#N/A,FALSE,"balance";#N/A,#N/A,FALSE,"PYG"}</definedName>
    <definedName name="________________________PyG2" localSheetId="2" hidden="1">{#N/A,#N/A,FALSE,"balance";#N/A,#N/A,FALSE,"PYG"}</definedName>
    <definedName name="________________________PyG2" hidden="1">{#N/A,#N/A,FALSE,"balance";#N/A,#N/A,FALSE,"PYG"}</definedName>
    <definedName name="________________________PYG3" localSheetId="1" hidden="1">{#N/A,#N/A,FALSE,"balance";#N/A,#N/A,FALSE,"PYG"}</definedName>
    <definedName name="________________________PYG3" localSheetId="4" hidden="1">{#N/A,#N/A,FALSE,"balance";#N/A,#N/A,FALSE,"PYG"}</definedName>
    <definedName name="________________________PYG3" localSheetId="0" hidden="1">{#N/A,#N/A,FALSE,"balance";#N/A,#N/A,FALSE,"PYG"}</definedName>
    <definedName name="________________________PYG3" localSheetId="3" hidden="1">{#N/A,#N/A,FALSE,"balance";#N/A,#N/A,FALSE,"PYG"}</definedName>
    <definedName name="________________________PYG3" localSheetId="2" hidden="1">{#N/A,#N/A,FALSE,"balance";#N/A,#N/A,FALSE,"PYG"}</definedName>
    <definedName name="________________________PYG3" hidden="1">{#N/A,#N/A,FALSE,"balance";#N/A,#N/A,FALSE,"PYG"}</definedName>
    <definedName name="________________________PyG33" localSheetId="1" hidden="1">{#N/A,#N/A,FALSE,"balance";#N/A,#N/A,FALSE,"PYG"}</definedName>
    <definedName name="________________________PyG33" localSheetId="4" hidden="1">{#N/A,#N/A,FALSE,"balance";#N/A,#N/A,FALSE,"PYG"}</definedName>
    <definedName name="________________________PyG33" localSheetId="0" hidden="1">{#N/A,#N/A,FALSE,"balance";#N/A,#N/A,FALSE,"PYG"}</definedName>
    <definedName name="________________________PyG33" localSheetId="3" hidden="1">{#N/A,#N/A,FALSE,"balance";#N/A,#N/A,FALSE,"PYG"}</definedName>
    <definedName name="________________________PyG33" localSheetId="2" hidden="1">{#N/A,#N/A,FALSE,"balance";#N/A,#N/A,FALSE,"PYG"}</definedName>
    <definedName name="________________________PyG33" hidden="1">{#N/A,#N/A,FALSE,"balance";#N/A,#N/A,FALSE,"PYG"}</definedName>
    <definedName name="_______________________GGF2" localSheetId="1" hidden="1">{#N/A,#N/A,FALSE,"balance";#N/A,#N/A,FALSE,"PYG"}</definedName>
    <definedName name="_______________________GGF2" localSheetId="4" hidden="1">{#N/A,#N/A,FALSE,"balance";#N/A,#N/A,FALSE,"PYG"}</definedName>
    <definedName name="_______________________GGF2" localSheetId="0" hidden="1">{#N/A,#N/A,FALSE,"balance";#N/A,#N/A,FALSE,"PYG"}</definedName>
    <definedName name="_______________________GGF2" localSheetId="3" hidden="1">{#N/A,#N/A,FALSE,"balance";#N/A,#N/A,FALSE,"PYG"}</definedName>
    <definedName name="_______________________GGF2" localSheetId="2" hidden="1">{#N/A,#N/A,FALSE,"balance";#N/A,#N/A,FALSE,"PYG"}</definedName>
    <definedName name="_______________________GGF2" hidden="1">{#N/A,#N/A,FALSE,"balance";#N/A,#N/A,FALSE,"PYG"}</definedName>
    <definedName name="_______________________OCT2" localSheetId="1" hidden="1">{#N/A,#N/A,FALSE,"BL&amp;GPA";#N/A,#N/A,FALSE,"Summary";#N/A,#N/A,FALSE,"hts"}</definedName>
    <definedName name="_______________________OCT2" localSheetId="4" hidden="1">{#N/A,#N/A,FALSE,"BL&amp;GPA";#N/A,#N/A,FALSE,"Summary";#N/A,#N/A,FALSE,"hts"}</definedName>
    <definedName name="_______________________OCT2" localSheetId="0" hidden="1">{#N/A,#N/A,FALSE,"BL&amp;GPA";#N/A,#N/A,FALSE,"Summary";#N/A,#N/A,FALSE,"hts"}</definedName>
    <definedName name="_______________________OCT2" localSheetId="3" hidden="1">{#N/A,#N/A,FALSE,"BL&amp;GPA";#N/A,#N/A,FALSE,"Summary";#N/A,#N/A,FALSE,"hts"}</definedName>
    <definedName name="_______________________OCT2" localSheetId="2" hidden="1">{#N/A,#N/A,FALSE,"BL&amp;GPA";#N/A,#N/A,FALSE,"Summary";#N/A,#N/A,FALSE,"hts"}</definedName>
    <definedName name="_______________________OCT2" hidden="1">{#N/A,#N/A,FALSE,"BL&amp;GPA";#N/A,#N/A,FALSE,"Summary";#N/A,#N/A,FALSE,"hts"}</definedName>
    <definedName name="_______________________ok1" localSheetId="1" hidden="1">{#N/A,#N/A,FALSE,"balance";#N/A,#N/A,FALSE,"PYG"}</definedName>
    <definedName name="_______________________ok1" localSheetId="4" hidden="1">{#N/A,#N/A,FALSE,"balance";#N/A,#N/A,FALSE,"PYG"}</definedName>
    <definedName name="_______________________ok1" localSheetId="0" hidden="1">{#N/A,#N/A,FALSE,"balance";#N/A,#N/A,FALSE,"PYG"}</definedName>
    <definedName name="_______________________ok1" localSheetId="3" hidden="1">{#N/A,#N/A,FALSE,"balance";#N/A,#N/A,FALSE,"PYG"}</definedName>
    <definedName name="_______________________ok1" localSheetId="2" hidden="1">{#N/A,#N/A,FALSE,"balance";#N/A,#N/A,FALSE,"PYG"}</definedName>
    <definedName name="_______________________ok1" hidden="1">{#N/A,#N/A,FALSE,"balance";#N/A,#N/A,FALSE,"PYG"}</definedName>
    <definedName name="_______________________Ok2" localSheetId="1" hidden="1">{#N/A,#N/A,FALSE,"balance";#N/A,#N/A,FALSE,"PYG"}</definedName>
    <definedName name="_______________________Ok2" localSheetId="4" hidden="1">{#N/A,#N/A,FALSE,"balance";#N/A,#N/A,FALSE,"PYG"}</definedName>
    <definedName name="_______________________Ok2" localSheetId="0" hidden="1">{#N/A,#N/A,FALSE,"balance";#N/A,#N/A,FALSE,"PYG"}</definedName>
    <definedName name="_______________________Ok2" localSheetId="3" hidden="1">{#N/A,#N/A,FALSE,"balance";#N/A,#N/A,FALSE,"PYG"}</definedName>
    <definedName name="_______________________Ok2" localSheetId="2" hidden="1">{#N/A,#N/A,FALSE,"balance";#N/A,#N/A,FALSE,"PYG"}</definedName>
    <definedName name="_______________________Ok2" hidden="1">{#N/A,#N/A,FALSE,"balance";#N/A,#N/A,FALSE,"PYG"}</definedName>
    <definedName name="_______________________PyG2" localSheetId="1" hidden="1">{#N/A,#N/A,FALSE,"balance";#N/A,#N/A,FALSE,"PYG"}</definedName>
    <definedName name="_______________________PyG2" localSheetId="4" hidden="1">{#N/A,#N/A,FALSE,"balance";#N/A,#N/A,FALSE,"PYG"}</definedName>
    <definedName name="_______________________PyG2" localSheetId="0" hidden="1">{#N/A,#N/A,FALSE,"balance";#N/A,#N/A,FALSE,"PYG"}</definedName>
    <definedName name="_______________________PyG2" localSheetId="3" hidden="1">{#N/A,#N/A,FALSE,"balance";#N/A,#N/A,FALSE,"PYG"}</definedName>
    <definedName name="_______________________PyG2" localSheetId="2" hidden="1">{#N/A,#N/A,FALSE,"balance";#N/A,#N/A,FALSE,"PYG"}</definedName>
    <definedName name="_______________________PyG2" hidden="1">{#N/A,#N/A,FALSE,"balance";#N/A,#N/A,FALSE,"PYG"}</definedName>
    <definedName name="_______________________PYG3" localSheetId="1" hidden="1">{#N/A,#N/A,FALSE,"balance";#N/A,#N/A,FALSE,"PYG"}</definedName>
    <definedName name="_______________________PYG3" localSheetId="4" hidden="1">{#N/A,#N/A,FALSE,"balance";#N/A,#N/A,FALSE,"PYG"}</definedName>
    <definedName name="_______________________PYG3" localSheetId="0" hidden="1">{#N/A,#N/A,FALSE,"balance";#N/A,#N/A,FALSE,"PYG"}</definedName>
    <definedName name="_______________________PYG3" localSheetId="3" hidden="1">{#N/A,#N/A,FALSE,"balance";#N/A,#N/A,FALSE,"PYG"}</definedName>
    <definedName name="_______________________PYG3" localSheetId="2" hidden="1">{#N/A,#N/A,FALSE,"balance";#N/A,#N/A,FALSE,"PYG"}</definedName>
    <definedName name="_______________________PYG3" hidden="1">{#N/A,#N/A,FALSE,"balance";#N/A,#N/A,FALSE,"PYG"}</definedName>
    <definedName name="_______________________PyG33" localSheetId="1" hidden="1">{#N/A,#N/A,FALSE,"balance";#N/A,#N/A,FALSE,"PYG"}</definedName>
    <definedName name="_______________________PyG33" localSheetId="4" hidden="1">{#N/A,#N/A,FALSE,"balance";#N/A,#N/A,FALSE,"PYG"}</definedName>
    <definedName name="_______________________PyG33" localSheetId="0" hidden="1">{#N/A,#N/A,FALSE,"balance";#N/A,#N/A,FALSE,"PYG"}</definedName>
    <definedName name="_______________________PyG33" localSheetId="3" hidden="1">{#N/A,#N/A,FALSE,"balance";#N/A,#N/A,FALSE,"PYG"}</definedName>
    <definedName name="_______________________PyG33" localSheetId="2" hidden="1">{#N/A,#N/A,FALSE,"balance";#N/A,#N/A,FALSE,"PYG"}</definedName>
    <definedName name="_______________________PyG33" hidden="1">{#N/A,#N/A,FALSE,"balance";#N/A,#N/A,FALSE,"PYG"}</definedName>
    <definedName name="______________________GGF2" localSheetId="1" hidden="1">{#N/A,#N/A,FALSE,"balance";#N/A,#N/A,FALSE,"PYG"}</definedName>
    <definedName name="______________________GGF2" localSheetId="4" hidden="1">{#N/A,#N/A,FALSE,"balance";#N/A,#N/A,FALSE,"PYG"}</definedName>
    <definedName name="______________________GGF2" localSheetId="0" hidden="1">{#N/A,#N/A,FALSE,"balance";#N/A,#N/A,FALSE,"PYG"}</definedName>
    <definedName name="______________________GGF2" localSheetId="3" hidden="1">{#N/A,#N/A,FALSE,"balance";#N/A,#N/A,FALSE,"PYG"}</definedName>
    <definedName name="______________________GGF2" localSheetId="2" hidden="1">{#N/A,#N/A,FALSE,"balance";#N/A,#N/A,FALSE,"PYG"}</definedName>
    <definedName name="______________________GGF2" hidden="1">{#N/A,#N/A,FALSE,"balance";#N/A,#N/A,FALSE,"PYG"}</definedName>
    <definedName name="______________________new1" hidden="1">{#N/A,#N/A,FALSE,"SMT1";#N/A,#N/A,FALSE,"SMT2";#N/A,#N/A,FALSE,"Summary";#N/A,#N/A,FALSE,"Graphs";#N/A,#N/A,FALSE,"4 Panel"}</definedName>
    <definedName name="______________________NEW3" hidden="1">{#N/A,#N/A,FALSE,"SMT1";#N/A,#N/A,FALSE,"SMT2";#N/A,#N/A,FALSE,"Summary";#N/A,#N/A,FALSE,"Graphs";#N/A,#N/A,FALSE,"4 Panel"}</definedName>
    <definedName name="______________________NEW4" hidden="1">{#N/A,#N/A,FALSE,"Full";#N/A,#N/A,FALSE,"Half";#N/A,#N/A,FALSE,"Op Expenses";#N/A,#N/A,FALSE,"Cap Charge";#N/A,#N/A,FALSE,"Cost C";#N/A,#N/A,FALSE,"PP&amp;E";#N/A,#N/A,FALSE,"R&amp;D"}</definedName>
    <definedName name="______________________OCT2" localSheetId="1" hidden="1">{#N/A,#N/A,FALSE,"BL&amp;GPA";#N/A,#N/A,FALSE,"Summary";#N/A,#N/A,FALSE,"hts"}</definedName>
    <definedName name="______________________OCT2" localSheetId="4" hidden="1">{#N/A,#N/A,FALSE,"BL&amp;GPA";#N/A,#N/A,FALSE,"Summary";#N/A,#N/A,FALSE,"hts"}</definedName>
    <definedName name="______________________OCT2" localSheetId="0" hidden="1">{#N/A,#N/A,FALSE,"BL&amp;GPA";#N/A,#N/A,FALSE,"Summary";#N/A,#N/A,FALSE,"hts"}</definedName>
    <definedName name="______________________OCT2" localSheetId="3" hidden="1">{#N/A,#N/A,FALSE,"BL&amp;GPA";#N/A,#N/A,FALSE,"Summary";#N/A,#N/A,FALSE,"hts"}</definedName>
    <definedName name="______________________OCT2" localSheetId="2" hidden="1">{#N/A,#N/A,FALSE,"BL&amp;GPA";#N/A,#N/A,FALSE,"Summary";#N/A,#N/A,FALSE,"hts"}</definedName>
    <definedName name="______________________OCT2" hidden="1">{#N/A,#N/A,FALSE,"BL&amp;GPA";#N/A,#N/A,FALSE,"Summary";#N/A,#N/A,FALSE,"hts"}</definedName>
    <definedName name="______________________ok1" localSheetId="1" hidden="1">{#N/A,#N/A,FALSE,"balance";#N/A,#N/A,FALSE,"PYG"}</definedName>
    <definedName name="______________________ok1" localSheetId="4" hidden="1">{#N/A,#N/A,FALSE,"balance";#N/A,#N/A,FALSE,"PYG"}</definedName>
    <definedName name="______________________ok1" localSheetId="0" hidden="1">{#N/A,#N/A,FALSE,"balance";#N/A,#N/A,FALSE,"PYG"}</definedName>
    <definedName name="______________________ok1" localSheetId="3" hidden="1">{#N/A,#N/A,FALSE,"balance";#N/A,#N/A,FALSE,"PYG"}</definedName>
    <definedName name="______________________ok1" localSheetId="2" hidden="1">{#N/A,#N/A,FALSE,"balance";#N/A,#N/A,FALSE,"PYG"}</definedName>
    <definedName name="______________________ok1" hidden="1">{#N/A,#N/A,FALSE,"balance";#N/A,#N/A,FALSE,"PYG"}</definedName>
    <definedName name="______________________Ok2" localSheetId="1" hidden="1">{#N/A,#N/A,FALSE,"balance";#N/A,#N/A,FALSE,"PYG"}</definedName>
    <definedName name="______________________Ok2" localSheetId="4" hidden="1">{#N/A,#N/A,FALSE,"balance";#N/A,#N/A,FALSE,"PYG"}</definedName>
    <definedName name="______________________Ok2" localSheetId="0" hidden="1">{#N/A,#N/A,FALSE,"balance";#N/A,#N/A,FALSE,"PYG"}</definedName>
    <definedName name="______________________Ok2" localSheetId="3" hidden="1">{#N/A,#N/A,FALSE,"balance";#N/A,#N/A,FALSE,"PYG"}</definedName>
    <definedName name="______________________Ok2" localSheetId="2" hidden="1">{#N/A,#N/A,FALSE,"balance";#N/A,#N/A,FALSE,"PYG"}</definedName>
    <definedName name="______________________Ok2" hidden="1">{#N/A,#N/A,FALSE,"balance";#N/A,#N/A,FALSE,"PYG"}</definedName>
    <definedName name="______________________PyG2" localSheetId="1" hidden="1">{#N/A,#N/A,FALSE,"balance";#N/A,#N/A,FALSE,"PYG"}</definedName>
    <definedName name="______________________PyG2" localSheetId="4" hidden="1">{#N/A,#N/A,FALSE,"balance";#N/A,#N/A,FALSE,"PYG"}</definedName>
    <definedName name="______________________PyG2" localSheetId="0" hidden="1">{#N/A,#N/A,FALSE,"balance";#N/A,#N/A,FALSE,"PYG"}</definedName>
    <definedName name="______________________PyG2" localSheetId="3" hidden="1">{#N/A,#N/A,FALSE,"balance";#N/A,#N/A,FALSE,"PYG"}</definedName>
    <definedName name="______________________PyG2" localSheetId="2" hidden="1">{#N/A,#N/A,FALSE,"balance";#N/A,#N/A,FALSE,"PYG"}</definedName>
    <definedName name="______________________PyG2" hidden="1">{#N/A,#N/A,FALSE,"balance";#N/A,#N/A,FALSE,"PYG"}</definedName>
    <definedName name="______________________PYG3" localSheetId="1" hidden="1">{#N/A,#N/A,FALSE,"balance";#N/A,#N/A,FALSE,"PYG"}</definedName>
    <definedName name="______________________PYG3" localSheetId="4" hidden="1">{#N/A,#N/A,FALSE,"balance";#N/A,#N/A,FALSE,"PYG"}</definedName>
    <definedName name="______________________PYG3" localSheetId="0" hidden="1">{#N/A,#N/A,FALSE,"balance";#N/A,#N/A,FALSE,"PYG"}</definedName>
    <definedName name="______________________PYG3" localSheetId="3" hidden="1">{#N/A,#N/A,FALSE,"balance";#N/A,#N/A,FALSE,"PYG"}</definedName>
    <definedName name="______________________PYG3" localSheetId="2" hidden="1">{#N/A,#N/A,FALSE,"balance";#N/A,#N/A,FALSE,"PYG"}</definedName>
    <definedName name="______________________PYG3" hidden="1">{#N/A,#N/A,FALSE,"balance";#N/A,#N/A,FALSE,"PYG"}</definedName>
    <definedName name="______________________PyG33" localSheetId="1" hidden="1">{#N/A,#N/A,FALSE,"balance";#N/A,#N/A,FALSE,"PYG"}</definedName>
    <definedName name="______________________PyG33" localSheetId="4" hidden="1">{#N/A,#N/A,FALSE,"balance";#N/A,#N/A,FALSE,"PYG"}</definedName>
    <definedName name="______________________PyG33" localSheetId="0" hidden="1">{#N/A,#N/A,FALSE,"balance";#N/A,#N/A,FALSE,"PYG"}</definedName>
    <definedName name="______________________PyG33" localSheetId="3" hidden="1">{#N/A,#N/A,FALSE,"balance";#N/A,#N/A,FALSE,"PYG"}</definedName>
    <definedName name="______________________PyG33" localSheetId="2" hidden="1">{#N/A,#N/A,FALSE,"balance";#N/A,#N/A,FALSE,"PYG"}</definedName>
    <definedName name="______________________PyG33" hidden="1">{#N/A,#N/A,FALSE,"balance";#N/A,#N/A,FALSE,"PYG"}</definedName>
    <definedName name="_____________________GGF2" localSheetId="1" hidden="1">{#N/A,#N/A,FALSE,"balance";#N/A,#N/A,FALSE,"PYG"}</definedName>
    <definedName name="_____________________GGF2" localSheetId="4" hidden="1">{#N/A,#N/A,FALSE,"balance";#N/A,#N/A,FALSE,"PYG"}</definedName>
    <definedName name="_____________________GGF2" localSheetId="0" hidden="1">{#N/A,#N/A,FALSE,"balance";#N/A,#N/A,FALSE,"PYG"}</definedName>
    <definedName name="_____________________GGF2" localSheetId="3" hidden="1">{#N/A,#N/A,FALSE,"balance";#N/A,#N/A,FALSE,"PYG"}</definedName>
    <definedName name="_____________________GGF2" localSheetId="2" hidden="1">{#N/A,#N/A,FALSE,"balance";#N/A,#N/A,FALSE,"PYG"}</definedName>
    <definedName name="_____________________GGF2" hidden="1">{#N/A,#N/A,FALSE,"balance";#N/A,#N/A,FALSE,"PYG"}</definedName>
    <definedName name="_____________________new1" hidden="1">{#N/A,#N/A,FALSE,"SMT1";#N/A,#N/A,FALSE,"SMT2";#N/A,#N/A,FALSE,"Summary";#N/A,#N/A,FALSE,"Graphs";#N/A,#N/A,FALSE,"4 Panel"}</definedName>
    <definedName name="_____________________NEW3" hidden="1">{#N/A,#N/A,FALSE,"SMT1";#N/A,#N/A,FALSE,"SMT2";#N/A,#N/A,FALSE,"Summary";#N/A,#N/A,FALSE,"Graphs";#N/A,#N/A,FALSE,"4 Panel"}</definedName>
    <definedName name="_____________________NEW4" hidden="1">{#N/A,#N/A,FALSE,"Full";#N/A,#N/A,FALSE,"Half";#N/A,#N/A,FALSE,"Op Expenses";#N/A,#N/A,FALSE,"Cap Charge";#N/A,#N/A,FALSE,"Cost C";#N/A,#N/A,FALSE,"PP&amp;E";#N/A,#N/A,FALSE,"R&amp;D"}</definedName>
    <definedName name="_____________________OCT2" localSheetId="1" hidden="1">{#N/A,#N/A,FALSE,"BL&amp;GPA";#N/A,#N/A,FALSE,"Summary";#N/A,#N/A,FALSE,"hts"}</definedName>
    <definedName name="_____________________OCT2" localSheetId="4" hidden="1">{#N/A,#N/A,FALSE,"BL&amp;GPA";#N/A,#N/A,FALSE,"Summary";#N/A,#N/A,FALSE,"hts"}</definedName>
    <definedName name="_____________________OCT2" localSheetId="0" hidden="1">{#N/A,#N/A,FALSE,"BL&amp;GPA";#N/A,#N/A,FALSE,"Summary";#N/A,#N/A,FALSE,"hts"}</definedName>
    <definedName name="_____________________OCT2" localSheetId="3" hidden="1">{#N/A,#N/A,FALSE,"BL&amp;GPA";#N/A,#N/A,FALSE,"Summary";#N/A,#N/A,FALSE,"hts"}</definedName>
    <definedName name="_____________________OCT2" localSheetId="2" hidden="1">{#N/A,#N/A,FALSE,"BL&amp;GPA";#N/A,#N/A,FALSE,"Summary";#N/A,#N/A,FALSE,"hts"}</definedName>
    <definedName name="_____________________OCT2" hidden="1">{#N/A,#N/A,FALSE,"BL&amp;GPA";#N/A,#N/A,FALSE,"Summary";#N/A,#N/A,FALSE,"hts"}</definedName>
    <definedName name="_____________________ok1" localSheetId="1" hidden="1">{#N/A,#N/A,FALSE,"balance";#N/A,#N/A,FALSE,"PYG"}</definedName>
    <definedName name="_____________________ok1" localSheetId="4" hidden="1">{#N/A,#N/A,FALSE,"balance";#N/A,#N/A,FALSE,"PYG"}</definedName>
    <definedName name="_____________________ok1" localSheetId="0" hidden="1">{#N/A,#N/A,FALSE,"balance";#N/A,#N/A,FALSE,"PYG"}</definedName>
    <definedName name="_____________________ok1" localSheetId="3" hidden="1">{#N/A,#N/A,FALSE,"balance";#N/A,#N/A,FALSE,"PYG"}</definedName>
    <definedName name="_____________________ok1" localSheetId="2" hidden="1">{#N/A,#N/A,FALSE,"balance";#N/A,#N/A,FALSE,"PYG"}</definedName>
    <definedName name="_____________________ok1" hidden="1">{#N/A,#N/A,FALSE,"balance";#N/A,#N/A,FALSE,"PYG"}</definedName>
    <definedName name="_____________________Ok2" localSheetId="1" hidden="1">{#N/A,#N/A,FALSE,"balance";#N/A,#N/A,FALSE,"PYG"}</definedName>
    <definedName name="_____________________Ok2" localSheetId="4" hidden="1">{#N/A,#N/A,FALSE,"balance";#N/A,#N/A,FALSE,"PYG"}</definedName>
    <definedName name="_____________________Ok2" localSheetId="0" hidden="1">{#N/A,#N/A,FALSE,"balance";#N/A,#N/A,FALSE,"PYG"}</definedName>
    <definedName name="_____________________Ok2" localSheetId="3" hidden="1">{#N/A,#N/A,FALSE,"balance";#N/A,#N/A,FALSE,"PYG"}</definedName>
    <definedName name="_____________________Ok2" localSheetId="2" hidden="1">{#N/A,#N/A,FALSE,"balance";#N/A,#N/A,FALSE,"PYG"}</definedName>
    <definedName name="_____________________Ok2" hidden="1">{#N/A,#N/A,FALSE,"balance";#N/A,#N/A,FALSE,"PYG"}</definedName>
    <definedName name="_____________________PyG2" localSheetId="1" hidden="1">{#N/A,#N/A,FALSE,"balance";#N/A,#N/A,FALSE,"PYG"}</definedName>
    <definedName name="_____________________PyG2" localSheetId="4" hidden="1">{#N/A,#N/A,FALSE,"balance";#N/A,#N/A,FALSE,"PYG"}</definedName>
    <definedName name="_____________________PyG2" localSheetId="0" hidden="1">{#N/A,#N/A,FALSE,"balance";#N/A,#N/A,FALSE,"PYG"}</definedName>
    <definedName name="_____________________PyG2" localSheetId="3" hidden="1">{#N/A,#N/A,FALSE,"balance";#N/A,#N/A,FALSE,"PYG"}</definedName>
    <definedName name="_____________________PyG2" localSheetId="2" hidden="1">{#N/A,#N/A,FALSE,"balance";#N/A,#N/A,FALSE,"PYG"}</definedName>
    <definedName name="_____________________PyG2" hidden="1">{#N/A,#N/A,FALSE,"balance";#N/A,#N/A,FALSE,"PYG"}</definedName>
    <definedName name="_____________________PYG3" localSheetId="1" hidden="1">{#N/A,#N/A,FALSE,"balance";#N/A,#N/A,FALSE,"PYG"}</definedName>
    <definedName name="_____________________PYG3" localSheetId="4" hidden="1">{#N/A,#N/A,FALSE,"balance";#N/A,#N/A,FALSE,"PYG"}</definedName>
    <definedName name="_____________________PYG3" localSheetId="0" hidden="1">{#N/A,#N/A,FALSE,"balance";#N/A,#N/A,FALSE,"PYG"}</definedName>
    <definedName name="_____________________PYG3" localSheetId="3" hidden="1">{#N/A,#N/A,FALSE,"balance";#N/A,#N/A,FALSE,"PYG"}</definedName>
    <definedName name="_____________________PYG3" localSheetId="2" hidden="1">{#N/A,#N/A,FALSE,"balance";#N/A,#N/A,FALSE,"PYG"}</definedName>
    <definedName name="_____________________PYG3" hidden="1">{#N/A,#N/A,FALSE,"balance";#N/A,#N/A,FALSE,"PYG"}</definedName>
    <definedName name="_____________________PyG33" localSheetId="1" hidden="1">{#N/A,#N/A,FALSE,"balance";#N/A,#N/A,FALSE,"PYG"}</definedName>
    <definedName name="_____________________PyG33" localSheetId="4" hidden="1">{#N/A,#N/A,FALSE,"balance";#N/A,#N/A,FALSE,"PYG"}</definedName>
    <definedName name="_____________________PyG33" localSheetId="0" hidden="1">{#N/A,#N/A,FALSE,"balance";#N/A,#N/A,FALSE,"PYG"}</definedName>
    <definedName name="_____________________PyG33" localSheetId="3" hidden="1">{#N/A,#N/A,FALSE,"balance";#N/A,#N/A,FALSE,"PYG"}</definedName>
    <definedName name="_____________________PyG33" localSheetId="2" hidden="1">{#N/A,#N/A,FALSE,"balance";#N/A,#N/A,FALSE,"PYG"}</definedName>
    <definedName name="_____________________PyG33" hidden="1">{#N/A,#N/A,FALSE,"balance";#N/A,#N/A,FALSE,"PYG"}</definedName>
    <definedName name="____________________GGF2" localSheetId="1" hidden="1">{#N/A,#N/A,FALSE,"balance";#N/A,#N/A,FALSE,"PYG"}</definedName>
    <definedName name="____________________GGF2" localSheetId="4" hidden="1">{#N/A,#N/A,FALSE,"balance";#N/A,#N/A,FALSE,"PYG"}</definedName>
    <definedName name="____________________GGF2" localSheetId="0" hidden="1">{#N/A,#N/A,FALSE,"balance";#N/A,#N/A,FALSE,"PYG"}</definedName>
    <definedName name="____________________GGF2" localSheetId="3" hidden="1">{#N/A,#N/A,FALSE,"balance";#N/A,#N/A,FALSE,"PYG"}</definedName>
    <definedName name="____________________GGF2" localSheetId="2" hidden="1">{#N/A,#N/A,FALSE,"balance";#N/A,#N/A,FALSE,"PYG"}</definedName>
    <definedName name="____________________GGF2" hidden="1">{#N/A,#N/A,FALSE,"balance";#N/A,#N/A,FALSE,"PYG"}</definedName>
    <definedName name="____________________new1" hidden="1">{#N/A,#N/A,FALSE,"SMT1";#N/A,#N/A,FALSE,"SMT2";#N/A,#N/A,FALSE,"Summary";#N/A,#N/A,FALSE,"Graphs";#N/A,#N/A,FALSE,"4 Panel"}</definedName>
    <definedName name="____________________NEW3" hidden="1">{#N/A,#N/A,FALSE,"SMT1";#N/A,#N/A,FALSE,"SMT2";#N/A,#N/A,FALSE,"Summary";#N/A,#N/A,FALSE,"Graphs";#N/A,#N/A,FALSE,"4 Panel"}</definedName>
    <definedName name="____________________NEW4" hidden="1">{#N/A,#N/A,FALSE,"Full";#N/A,#N/A,FALSE,"Half";#N/A,#N/A,FALSE,"Op Expenses";#N/A,#N/A,FALSE,"Cap Charge";#N/A,#N/A,FALSE,"Cost C";#N/A,#N/A,FALSE,"PP&amp;E";#N/A,#N/A,FALSE,"R&amp;D"}</definedName>
    <definedName name="____________________OCT2" localSheetId="1" hidden="1">{#N/A,#N/A,FALSE,"BL&amp;GPA";#N/A,#N/A,FALSE,"Summary";#N/A,#N/A,FALSE,"hts"}</definedName>
    <definedName name="____________________OCT2" localSheetId="4" hidden="1">{#N/A,#N/A,FALSE,"BL&amp;GPA";#N/A,#N/A,FALSE,"Summary";#N/A,#N/A,FALSE,"hts"}</definedName>
    <definedName name="____________________OCT2" localSheetId="0" hidden="1">{#N/A,#N/A,FALSE,"BL&amp;GPA";#N/A,#N/A,FALSE,"Summary";#N/A,#N/A,FALSE,"hts"}</definedName>
    <definedName name="____________________OCT2" localSheetId="3" hidden="1">{#N/A,#N/A,FALSE,"BL&amp;GPA";#N/A,#N/A,FALSE,"Summary";#N/A,#N/A,FALSE,"hts"}</definedName>
    <definedName name="____________________OCT2" localSheetId="2" hidden="1">{#N/A,#N/A,FALSE,"BL&amp;GPA";#N/A,#N/A,FALSE,"Summary";#N/A,#N/A,FALSE,"hts"}</definedName>
    <definedName name="____________________OCT2" hidden="1">{#N/A,#N/A,FALSE,"BL&amp;GPA";#N/A,#N/A,FALSE,"Summary";#N/A,#N/A,FALSE,"hts"}</definedName>
    <definedName name="____________________ok1" localSheetId="1" hidden="1">{#N/A,#N/A,FALSE,"balance";#N/A,#N/A,FALSE,"PYG"}</definedName>
    <definedName name="____________________ok1" localSheetId="4" hidden="1">{#N/A,#N/A,FALSE,"balance";#N/A,#N/A,FALSE,"PYG"}</definedName>
    <definedName name="____________________ok1" localSheetId="0" hidden="1">{#N/A,#N/A,FALSE,"balance";#N/A,#N/A,FALSE,"PYG"}</definedName>
    <definedName name="____________________ok1" localSheetId="3" hidden="1">{#N/A,#N/A,FALSE,"balance";#N/A,#N/A,FALSE,"PYG"}</definedName>
    <definedName name="____________________ok1" localSheetId="2" hidden="1">{#N/A,#N/A,FALSE,"balance";#N/A,#N/A,FALSE,"PYG"}</definedName>
    <definedName name="____________________ok1" hidden="1">{#N/A,#N/A,FALSE,"balance";#N/A,#N/A,FALSE,"PYG"}</definedName>
    <definedName name="____________________Ok2" localSheetId="1" hidden="1">{#N/A,#N/A,FALSE,"balance";#N/A,#N/A,FALSE,"PYG"}</definedName>
    <definedName name="____________________Ok2" localSheetId="4" hidden="1">{#N/A,#N/A,FALSE,"balance";#N/A,#N/A,FALSE,"PYG"}</definedName>
    <definedName name="____________________Ok2" localSheetId="0" hidden="1">{#N/A,#N/A,FALSE,"balance";#N/A,#N/A,FALSE,"PYG"}</definedName>
    <definedName name="____________________Ok2" localSheetId="3" hidden="1">{#N/A,#N/A,FALSE,"balance";#N/A,#N/A,FALSE,"PYG"}</definedName>
    <definedName name="____________________Ok2" localSheetId="2" hidden="1">{#N/A,#N/A,FALSE,"balance";#N/A,#N/A,FALSE,"PYG"}</definedName>
    <definedName name="____________________Ok2" hidden="1">{#N/A,#N/A,FALSE,"balance";#N/A,#N/A,FALSE,"PYG"}</definedName>
    <definedName name="____________________PyG2" localSheetId="1" hidden="1">{#N/A,#N/A,FALSE,"balance";#N/A,#N/A,FALSE,"PYG"}</definedName>
    <definedName name="____________________PyG2" localSheetId="4" hidden="1">{#N/A,#N/A,FALSE,"balance";#N/A,#N/A,FALSE,"PYG"}</definedName>
    <definedName name="____________________PyG2" localSheetId="0" hidden="1">{#N/A,#N/A,FALSE,"balance";#N/A,#N/A,FALSE,"PYG"}</definedName>
    <definedName name="____________________PyG2" localSheetId="3" hidden="1">{#N/A,#N/A,FALSE,"balance";#N/A,#N/A,FALSE,"PYG"}</definedName>
    <definedName name="____________________PyG2" localSheetId="2" hidden="1">{#N/A,#N/A,FALSE,"balance";#N/A,#N/A,FALSE,"PYG"}</definedName>
    <definedName name="____________________PyG2" hidden="1">{#N/A,#N/A,FALSE,"balance";#N/A,#N/A,FALSE,"PYG"}</definedName>
    <definedName name="____________________PYG3" localSheetId="1" hidden="1">{#N/A,#N/A,FALSE,"balance";#N/A,#N/A,FALSE,"PYG"}</definedName>
    <definedName name="____________________PYG3" localSheetId="4" hidden="1">{#N/A,#N/A,FALSE,"balance";#N/A,#N/A,FALSE,"PYG"}</definedName>
    <definedName name="____________________PYG3" localSheetId="0" hidden="1">{#N/A,#N/A,FALSE,"balance";#N/A,#N/A,FALSE,"PYG"}</definedName>
    <definedName name="____________________PYG3" localSheetId="3" hidden="1">{#N/A,#N/A,FALSE,"balance";#N/A,#N/A,FALSE,"PYG"}</definedName>
    <definedName name="____________________PYG3" localSheetId="2" hidden="1">{#N/A,#N/A,FALSE,"balance";#N/A,#N/A,FALSE,"PYG"}</definedName>
    <definedName name="____________________PYG3" hidden="1">{#N/A,#N/A,FALSE,"balance";#N/A,#N/A,FALSE,"PYG"}</definedName>
    <definedName name="____________________PyG33" localSheetId="1" hidden="1">{#N/A,#N/A,FALSE,"balance";#N/A,#N/A,FALSE,"PYG"}</definedName>
    <definedName name="____________________PyG33" localSheetId="4" hidden="1">{#N/A,#N/A,FALSE,"balance";#N/A,#N/A,FALSE,"PYG"}</definedName>
    <definedName name="____________________PyG33" localSheetId="0" hidden="1">{#N/A,#N/A,FALSE,"balance";#N/A,#N/A,FALSE,"PYG"}</definedName>
    <definedName name="____________________PyG33" localSheetId="3" hidden="1">{#N/A,#N/A,FALSE,"balance";#N/A,#N/A,FALSE,"PYG"}</definedName>
    <definedName name="____________________PyG33" localSheetId="2" hidden="1">{#N/A,#N/A,FALSE,"balance";#N/A,#N/A,FALSE,"PYG"}</definedName>
    <definedName name="____________________PyG33" hidden="1">{#N/A,#N/A,FALSE,"balance";#N/A,#N/A,FALSE,"PYG"}</definedName>
    <definedName name="____________________R" hidden="1">{#N/A,#N/A,FALSE,"GRAFICO";#N/A,#N/A,FALSE,"CAJA (2)";#N/A,#N/A,FALSE,"TERCEROS-PROMEDIO";#N/A,#N/A,FALSE,"CAJA";#N/A,#N/A,FALSE,"INGRESOS1995-2003";#N/A,#N/A,FALSE,"GASTOS1995-2003"}</definedName>
    <definedName name="___________________GGF2" localSheetId="1" hidden="1">{#N/A,#N/A,FALSE,"balance";#N/A,#N/A,FALSE,"PYG"}</definedName>
    <definedName name="___________________GGF2" localSheetId="4" hidden="1">{#N/A,#N/A,FALSE,"balance";#N/A,#N/A,FALSE,"PYG"}</definedName>
    <definedName name="___________________GGF2" localSheetId="0" hidden="1">{#N/A,#N/A,FALSE,"balance";#N/A,#N/A,FALSE,"PYG"}</definedName>
    <definedName name="___________________GGF2" localSheetId="3" hidden="1">{#N/A,#N/A,FALSE,"balance";#N/A,#N/A,FALSE,"PYG"}</definedName>
    <definedName name="___________________GGF2" localSheetId="2" hidden="1">{#N/A,#N/A,FALSE,"balance";#N/A,#N/A,FALSE,"PYG"}</definedName>
    <definedName name="___________________GGF2" hidden="1">{#N/A,#N/A,FALSE,"balance";#N/A,#N/A,FALSE,"PYG"}</definedName>
    <definedName name="___________________new1" hidden="1">{#N/A,#N/A,FALSE,"SMT1";#N/A,#N/A,FALSE,"SMT2";#N/A,#N/A,FALSE,"Summary";#N/A,#N/A,FALSE,"Graphs";#N/A,#N/A,FALSE,"4 Panel"}</definedName>
    <definedName name="___________________NEW3" hidden="1">{#N/A,#N/A,FALSE,"SMT1";#N/A,#N/A,FALSE,"SMT2";#N/A,#N/A,FALSE,"Summary";#N/A,#N/A,FALSE,"Graphs";#N/A,#N/A,FALSE,"4 Panel"}</definedName>
    <definedName name="___________________NEW4" hidden="1">{#N/A,#N/A,FALSE,"Full";#N/A,#N/A,FALSE,"Half";#N/A,#N/A,FALSE,"Op Expenses";#N/A,#N/A,FALSE,"Cap Charge";#N/A,#N/A,FALSE,"Cost C";#N/A,#N/A,FALSE,"PP&amp;E";#N/A,#N/A,FALSE,"R&amp;D"}</definedName>
    <definedName name="___________________OCT2" localSheetId="1" hidden="1">{#N/A,#N/A,FALSE,"BL&amp;GPA";#N/A,#N/A,FALSE,"Summary";#N/A,#N/A,FALSE,"hts"}</definedName>
    <definedName name="___________________OCT2" localSheetId="4" hidden="1">{#N/A,#N/A,FALSE,"BL&amp;GPA";#N/A,#N/A,FALSE,"Summary";#N/A,#N/A,FALSE,"hts"}</definedName>
    <definedName name="___________________OCT2" localSheetId="0" hidden="1">{#N/A,#N/A,FALSE,"BL&amp;GPA";#N/A,#N/A,FALSE,"Summary";#N/A,#N/A,FALSE,"hts"}</definedName>
    <definedName name="___________________OCT2" localSheetId="3" hidden="1">{#N/A,#N/A,FALSE,"BL&amp;GPA";#N/A,#N/A,FALSE,"Summary";#N/A,#N/A,FALSE,"hts"}</definedName>
    <definedName name="___________________OCT2" localSheetId="2" hidden="1">{#N/A,#N/A,FALSE,"BL&amp;GPA";#N/A,#N/A,FALSE,"Summary";#N/A,#N/A,FALSE,"hts"}</definedName>
    <definedName name="___________________OCT2" hidden="1">{#N/A,#N/A,FALSE,"BL&amp;GPA";#N/A,#N/A,FALSE,"Summary";#N/A,#N/A,FALSE,"hts"}</definedName>
    <definedName name="___________________ok1" localSheetId="1" hidden="1">{#N/A,#N/A,FALSE,"balance";#N/A,#N/A,FALSE,"PYG"}</definedName>
    <definedName name="___________________ok1" localSheetId="4" hidden="1">{#N/A,#N/A,FALSE,"balance";#N/A,#N/A,FALSE,"PYG"}</definedName>
    <definedName name="___________________ok1" localSheetId="0" hidden="1">{#N/A,#N/A,FALSE,"balance";#N/A,#N/A,FALSE,"PYG"}</definedName>
    <definedName name="___________________ok1" localSheetId="3" hidden="1">{#N/A,#N/A,FALSE,"balance";#N/A,#N/A,FALSE,"PYG"}</definedName>
    <definedName name="___________________ok1" localSheetId="2" hidden="1">{#N/A,#N/A,FALSE,"balance";#N/A,#N/A,FALSE,"PYG"}</definedName>
    <definedName name="___________________ok1" hidden="1">{#N/A,#N/A,FALSE,"balance";#N/A,#N/A,FALSE,"PYG"}</definedName>
    <definedName name="___________________Ok2" localSheetId="1" hidden="1">{#N/A,#N/A,FALSE,"balance";#N/A,#N/A,FALSE,"PYG"}</definedName>
    <definedName name="___________________Ok2" localSheetId="4" hidden="1">{#N/A,#N/A,FALSE,"balance";#N/A,#N/A,FALSE,"PYG"}</definedName>
    <definedName name="___________________Ok2" localSheetId="0" hidden="1">{#N/A,#N/A,FALSE,"balance";#N/A,#N/A,FALSE,"PYG"}</definedName>
    <definedName name="___________________Ok2" localSheetId="3" hidden="1">{#N/A,#N/A,FALSE,"balance";#N/A,#N/A,FALSE,"PYG"}</definedName>
    <definedName name="___________________Ok2" localSheetId="2" hidden="1">{#N/A,#N/A,FALSE,"balance";#N/A,#N/A,FALSE,"PYG"}</definedName>
    <definedName name="___________________Ok2" hidden="1">{#N/A,#N/A,FALSE,"balance";#N/A,#N/A,FALSE,"PYG"}</definedName>
    <definedName name="___________________PyG2" localSheetId="1" hidden="1">{#N/A,#N/A,FALSE,"balance";#N/A,#N/A,FALSE,"PYG"}</definedName>
    <definedName name="___________________PyG2" localSheetId="4" hidden="1">{#N/A,#N/A,FALSE,"balance";#N/A,#N/A,FALSE,"PYG"}</definedName>
    <definedName name="___________________PyG2" localSheetId="0" hidden="1">{#N/A,#N/A,FALSE,"balance";#N/A,#N/A,FALSE,"PYG"}</definedName>
    <definedName name="___________________PyG2" localSheetId="3" hidden="1">{#N/A,#N/A,FALSE,"balance";#N/A,#N/A,FALSE,"PYG"}</definedName>
    <definedName name="___________________PyG2" localSheetId="2" hidden="1">{#N/A,#N/A,FALSE,"balance";#N/A,#N/A,FALSE,"PYG"}</definedName>
    <definedName name="___________________PyG2" hidden="1">{#N/A,#N/A,FALSE,"balance";#N/A,#N/A,FALSE,"PYG"}</definedName>
    <definedName name="___________________PYG3" localSheetId="1" hidden="1">{#N/A,#N/A,FALSE,"balance";#N/A,#N/A,FALSE,"PYG"}</definedName>
    <definedName name="___________________PYG3" localSheetId="4" hidden="1">{#N/A,#N/A,FALSE,"balance";#N/A,#N/A,FALSE,"PYG"}</definedName>
    <definedName name="___________________PYG3" localSheetId="0" hidden="1">{#N/A,#N/A,FALSE,"balance";#N/A,#N/A,FALSE,"PYG"}</definedName>
    <definedName name="___________________PYG3" localSheetId="3" hidden="1">{#N/A,#N/A,FALSE,"balance";#N/A,#N/A,FALSE,"PYG"}</definedName>
    <definedName name="___________________PYG3" localSheetId="2" hidden="1">{#N/A,#N/A,FALSE,"balance";#N/A,#N/A,FALSE,"PYG"}</definedName>
    <definedName name="___________________PYG3" hidden="1">{#N/A,#N/A,FALSE,"balance";#N/A,#N/A,FALSE,"PYG"}</definedName>
    <definedName name="___________________PyG33" localSheetId="1" hidden="1">{#N/A,#N/A,FALSE,"balance";#N/A,#N/A,FALSE,"PYG"}</definedName>
    <definedName name="___________________PyG33" localSheetId="4" hidden="1">{#N/A,#N/A,FALSE,"balance";#N/A,#N/A,FALSE,"PYG"}</definedName>
    <definedName name="___________________PyG33" localSheetId="0" hidden="1">{#N/A,#N/A,FALSE,"balance";#N/A,#N/A,FALSE,"PYG"}</definedName>
    <definedName name="___________________PyG33" localSheetId="3" hidden="1">{#N/A,#N/A,FALSE,"balance";#N/A,#N/A,FALSE,"PYG"}</definedName>
    <definedName name="___________________PyG33" localSheetId="2" hidden="1">{#N/A,#N/A,FALSE,"balance";#N/A,#N/A,FALSE,"PYG"}</definedName>
    <definedName name="___________________PyG33" hidden="1">{#N/A,#N/A,FALSE,"balance";#N/A,#N/A,FALSE,"PYG"}</definedName>
    <definedName name="__________________GGF2" localSheetId="1" hidden="1">{#N/A,#N/A,FALSE,"balance";#N/A,#N/A,FALSE,"PYG"}</definedName>
    <definedName name="__________________GGF2" localSheetId="4" hidden="1">{#N/A,#N/A,FALSE,"balance";#N/A,#N/A,FALSE,"PYG"}</definedName>
    <definedName name="__________________GGF2" localSheetId="0" hidden="1">{#N/A,#N/A,FALSE,"balance";#N/A,#N/A,FALSE,"PYG"}</definedName>
    <definedName name="__________________GGF2" localSheetId="3" hidden="1">{#N/A,#N/A,FALSE,"balance";#N/A,#N/A,FALSE,"PYG"}</definedName>
    <definedName name="__________________GGF2" localSheetId="2" hidden="1">{#N/A,#N/A,FALSE,"balance";#N/A,#N/A,FALSE,"PYG"}</definedName>
    <definedName name="__________________GGF2" hidden="1">{#N/A,#N/A,FALSE,"balance";#N/A,#N/A,FALSE,"PYG"}</definedName>
    <definedName name="__________________new1" hidden="1">{#N/A,#N/A,FALSE,"SMT1";#N/A,#N/A,FALSE,"SMT2";#N/A,#N/A,FALSE,"Summary";#N/A,#N/A,FALSE,"Graphs";#N/A,#N/A,FALSE,"4 Panel"}</definedName>
    <definedName name="__________________NEW3" hidden="1">{#N/A,#N/A,FALSE,"SMT1";#N/A,#N/A,FALSE,"SMT2";#N/A,#N/A,FALSE,"Summary";#N/A,#N/A,FALSE,"Graphs";#N/A,#N/A,FALSE,"4 Panel"}</definedName>
    <definedName name="__________________NEW4" hidden="1">{#N/A,#N/A,FALSE,"Full";#N/A,#N/A,FALSE,"Half";#N/A,#N/A,FALSE,"Op Expenses";#N/A,#N/A,FALSE,"Cap Charge";#N/A,#N/A,FALSE,"Cost C";#N/A,#N/A,FALSE,"PP&amp;E";#N/A,#N/A,FALSE,"R&amp;D"}</definedName>
    <definedName name="__________________OCT2" localSheetId="1" hidden="1">{#N/A,#N/A,FALSE,"BL&amp;GPA";#N/A,#N/A,FALSE,"Summary";#N/A,#N/A,FALSE,"hts"}</definedName>
    <definedName name="__________________OCT2" localSheetId="4" hidden="1">{#N/A,#N/A,FALSE,"BL&amp;GPA";#N/A,#N/A,FALSE,"Summary";#N/A,#N/A,FALSE,"hts"}</definedName>
    <definedName name="__________________OCT2" localSheetId="0" hidden="1">{#N/A,#N/A,FALSE,"BL&amp;GPA";#N/A,#N/A,FALSE,"Summary";#N/A,#N/A,FALSE,"hts"}</definedName>
    <definedName name="__________________OCT2" localSheetId="3" hidden="1">{#N/A,#N/A,FALSE,"BL&amp;GPA";#N/A,#N/A,FALSE,"Summary";#N/A,#N/A,FALSE,"hts"}</definedName>
    <definedName name="__________________OCT2" localSheetId="2" hidden="1">{#N/A,#N/A,FALSE,"BL&amp;GPA";#N/A,#N/A,FALSE,"Summary";#N/A,#N/A,FALSE,"hts"}</definedName>
    <definedName name="__________________OCT2" hidden="1">{#N/A,#N/A,FALSE,"BL&amp;GPA";#N/A,#N/A,FALSE,"Summary";#N/A,#N/A,FALSE,"hts"}</definedName>
    <definedName name="__________________ok1" localSheetId="1" hidden="1">{#N/A,#N/A,FALSE,"balance";#N/A,#N/A,FALSE,"PYG"}</definedName>
    <definedName name="__________________ok1" localSheetId="4" hidden="1">{#N/A,#N/A,FALSE,"balance";#N/A,#N/A,FALSE,"PYG"}</definedName>
    <definedName name="__________________ok1" localSheetId="0" hidden="1">{#N/A,#N/A,FALSE,"balance";#N/A,#N/A,FALSE,"PYG"}</definedName>
    <definedName name="__________________ok1" localSheetId="3" hidden="1">{#N/A,#N/A,FALSE,"balance";#N/A,#N/A,FALSE,"PYG"}</definedName>
    <definedName name="__________________ok1" localSheetId="2" hidden="1">{#N/A,#N/A,FALSE,"balance";#N/A,#N/A,FALSE,"PYG"}</definedName>
    <definedName name="__________________ok1" hidden="1">{#N/A,#N/A,FALSE,"balance";#N/A,#N/A,FALSE,"PYG"}</definedName>
    <definedName name="__________________Ok2" localSheetId="1" hidden="1">{#N/A,#N/A,FALSE,"balance";#N/A,#N/A,FALSE,"PYG"}</definedName>
    <definedName name="__________________Ok2" localSheetId="4" hidden="1">{#N/A,#N/A,FALSE,"balance";#N/A,#N/A,FALSE,"PYG"}</definedName>
    <definedName name="__________________Ok2" localSheetId="0" hidden="1">{#N/A,#N/A,FALSE,"balance";#N/A,#N/A,FALSE,"PYG"}</definedName>
    <definedName name="__________________Ok2" localSheetId="3" hidden="1">{#N/A,#N/A,FALSE,"balance";#N/A,#N/A,FALSE,"PYG"}</definedName>
    <definedName name="__________________Ok2" localSheetId="2" hidden="1">{#N/A,#N/A,FALSE,"balance";#N/A,#N/A,FALSE,"PYG"}</definedName>
    <definedName name="__________________Ok2" hidden="1">{#N/A,#N/A,FALSE,"balance";#N/A,#N/A,FALSE,"PYG"}</definedName>
    <definedName name="__________________PyG2" localSheetId="1" hidden="1">{#N/A,#N/A,FALSE,"balance";#N/A,#N/A,FALSE,"PYG"}</definedName>
    <definedName name="__________________PyG2" localSheetId="4" hidden="1">{#N/A,#N/A,FALSE,"balance";#N/A,#N/A,FALSE,"PYG"}</definedName>
    <definedName name="__________________PyG2" localSheetId="0" hidden="1">{#N/A,#N/A,FALSE,"balance";#N/A,#N/A,FALSE,"PYG"}</definedName>
    <definedName name="__________________PyG2" localSheetId="3" hidden="1">{#N/A,#N/A,FALSE,"balance";#N/A,#N/A,FALSE,"PYG"}</definedName>
    <definedName name="__________________PyG2" localSheetId="2" hidden="1">{#N/A,#N/A,FALSE,"balance";#N/A,#N/A,FALSE,"PYG"}</definedName>
    <definedName name="__________________PyG2" hidden="1">{#N/A,#N/A,FALSE,"balance";#N/A,#N/A,FALSE,"PYG"}</definedName>
    <definedName name="__________________PYG3" localSheetId="1" hidden="1">{#N/A,#N/A,FALSE,"balance";#N/A,#N/A,FALSE,"PYG"}</definedName>
    <definedName name="__________________PYG3" localSheetId="4" hidden="1">{#N/A,#N/A,FALSE,"balance";#N/A,#N/A,FALSE,"PYG"}</definedName>
    <definedName name="__________________PYG3" localSheetId="0" hidden="1">{#N/A,#N/A,FALSE,"balance";#N/A,#N/A,FALSE,"PYG"}</definedName>
    <definedName name="__________________PYG3" localSheetId="3" hidden="1">{#N/A,#N/A,FALSE,"balance";#N/A,#N/A,FALSE,"PYG"}</definedName>
    <definedName name="__________________PYG3" localSheetId="2" hidden="1">{#N/A,#N/A,FALSE,"balance";#N/A,#N/A,FALSE,"PYG"}</definedName>
    <definedName name="__________________PYG3" hidden="1">{#N/A,#N/A,FALSE,"balance";#N/A,#N/A,FALSE,"PYG"}</definedName>
    <definedName name="__________________PyG33" localSheetId="1" hidden="1">{#N/A,#N/A,FALSE,"balance";#N/A,#N/A,FALSE,"PYG"}</definedName>
    <definedName name="__________________PyG33" localSheetId="4" hidden="1">{#N/A,#N/A,FALSE,"balance";#N/A,#N/A,FALSE,"PYG"}</definedName>
    <definedName name="__________________PyG33" localSheetId="0" hidden="1">{#N/A,#N/A,FALSE,"balance";#N/A,#N/A,FALSE,"PYG"}</definedName>
    <definedName name="__________________PyG33" localSheetId="3" hidden="1">{#N/A,#N/A,FALSE,"balance";#N/A,#N/A,FALSE,"PYG"}</definedName>
    <definedName name="__________________PyG33" localSheetId="2" hidden="1">{#N/A,#N/A,FALSE,"balance";#N/A,#N/A,FALSE,"PYG"}</definedName>
    <definedName name="__________________PyG33" hidden="1">{#N/A,#N/A,FALSE,"balance";#N/A,#N/A,FALSE,"PYG"}</definedName>
    <definedName name="__________________R" hidden="1">{#N/A,#N/A,FALSE,"GRAFICO";#N/A,#N/A,FALSE,"CAJA (2)";#N/A,#N/A,FALSE,"TERCEROS-PROMEDIO";#N/A,#N/A,FALSE,"CAJA";#N/A,#N/A,FALSE,"INGRESOS1995-2003";#N/A,#N/A,FALSE,"GASTOS1995-2003"}</definedName>
    <definedName name="_________________GGF2" localSheetId="1" hidden="1">{#N/A,#N/A,FALSE,"balance";#N/A,#N/A,FALSE,"PYG"}</definedName>
    <definedName name="_________________GGF2" localSheetId="4" hidden="1">{#N/A,#N/A,FALSE,"balance";#N/A,#N/A,FALSE,"PYG"}</definedName>
    <definedName name="_________________GGF2" localSheetId="0" hidden="1">{#N/A,#N/A,FALSE,"balance";#N/A,#N/A,FALSE,"PYG"}</definedName>
    <definedName name="_________________GGF2" localSheetId="3" hidden="1">{#N/A,#N/A,FALSE,"balance";#N/A,#N/A,FALSE,"PYG"}</definedName>
    <definedName name="_________________GGF2" localSheetId="2" hidden="1">{#N/A,#N/A,FALSE,"balance";#N/A,#N/A,FALSE,"PYG"}</definedName>
    <definedName name="_________________GGF2" hidden="1">{#N/A,#N/A,FALSE,"balance";#N/A,#N/A,FALSE,"PYG"}</definedName>
    <definedName name="_________________new1" hidden="1">{#N/A,#N/A,FALSE,"SMT1";#N/A,#N/A,FALSE,"SMT2";#N/A,#N/A,FALSE,"Summary";#N/A,#N/A,FALSE,"Graphs";#N/A,#N/A,FALSE,"4 Panel"}</definedName>
    <definedName name="_________________New15" hidden="1">{"EVA",#N/A,FALSE,"SMT2";#N/A,#N/A,FALSE,"Summary";#N/A,#N/A,FALSE,"Graphs";#N/A,#N/A,FALSE,"4 Panel"}</definedName>
    <definedName name="_________________New16" hidden="1">{#N/A,#N/A,FALSE,"SMT1";#N/A,#N/A,FALSE,"SMT2";#N/A,#N/A,FALSE,"Summary";#N/A,#N/A,FALSE,"Graphs";#N/A,#N/A,FALSE,"4 Panel"}</definedName>
    <definedName name="_________________New17" hidden="1">{#N/A,#N/A,FALSE,"SMT1";#N/A,#N/A,FALSE,"SMT2";#N/A,#N/A,FALSE,"Summary";#N/A,#N/A,FALSE,"Graphs";#N/A,#N/A,FALSE,"4 Panel"}</definedName>
    <definedName name="_________________New18" hidden="1">{#N/A,#N/A,FALSE,"Full";#N/A,#N/A,FALSE,"Half";#N/A,#N/A,FALSE,"Op Expenses";#N/A,#N/A,FALSE,"Cap Charge";#N/A,#N/A,FALSE,"Cost C";#N/A,#N/A,FALSE,"PP&amp;E";#N/A,#N/A,FALSE,"R&amp;D"}</definedName>
    <definedName name="_________________New19" hidden="1">{"EVA",#N/A,FALSE,"SMT2";#N/A,#N/A,FALSE,"Summary";#N/A,#N/A,FALSE,"Graphs";#N/A,#N/A,FALSE,"4 Panel"}</definedName>
    <definedName name="_________________New20" hidden="1">{#N/A,#N/A,FALSE,"SMT1";#N/A,#N/A,FALSE,"SMT2";#N/A,#N/A,FALSE,"Summary";#N/A,#N/A,FALSE,"Graphs";#N/A,#N/A,FALSE,"4 Panel"}</definedName>
    <definedName name="_________________New21" hidden="1">{#N/A,#N/A,FALSE,"Full";#N/A,#N/A,FALSE,"Half";#N/A,#N/A,FALSE,"Op Expenses";#N/A,#N/A,FALSE,"Cap Charge";#N/A,#N/A,FALSE,"Cost C";#N/A,#N/A,FALSE,"PP&amp;E";#N/A,#N/A,FALSE,"R&amp;D"}</definedName>
    <definedName name="_________________NEW3" hidden="1">{#N/A,#N/A,FALSE,"SMT1";#N/A,#N/A,FALSE,"SMT2";#N/A,#N/A,FALSE,"Summary";#N/A,#N/A,FALSE,"Graphs";#N/A,#N/A,FALSE,"4 Panel"}</definedName>
    <definedName name="_________________nEW30" hidden="1">{"EVA",#N/A,FALSE,"SMT2";#N/A,#N/A,FALSE,"Summary";#N/A,#N/A,FALSE,"Graphs";#N/A,#N/A,FALSE,"4 Panel"}</definedName>
    <definedName name="_________________New31" hidden="1">{#N/A,#N/A,FALSE,"SMT1";#N/A,#N/A,FALSE,"SMT2";#N/A,#N/A,FALSE,"Summary";#N/A,#N/A,FALSE,"Graphs";#N/A,#N/A,FALSE,"4 Panel"}</definedName>
    <definedName name="_________________New32" hidden="1">{#N/A,#N/A,FALSE,"SMT1";#N/A,#N/A,FALSE,"SMT2";#N/A,#N/A,FALSE,"Summary";#N/A,#N/A,FALSE,"Graphs";#N/A,#N/A,FALSE,"4 Panel"}</definedName>
    <definedName name="_________________New33" hidden="1">{#N/A,#N/A,FALSE,"Full";#N/A,#N/A,FALSE,"Half";#N/A,#N/A,FALSE,"Op Expenses";#N/A,#N/A,FALSE,"Cap Charge";#N/A,#N/A,FALSE,"Cost C";#N/A,#N/A,FALSE,"PP&amp;E";#N/A,#N/A,FALSE,"R&amp;D"}</definedName>
    <definedName name="_________________New34" hidden="1">{"EVA",#N/A,FALSE,"SMT2";#N/A,#N/A,FALSE,"Summary";#N/A,#N/A,FALSE,"Graphs";#N/A,#N/A,FALSE,"4 Panel"}</definedName>
    <definedName name="_________________New35" hidden="1">{#N/A,#N/A,FALSE,"SMT1";#N/A,#N/A,FALSE,"SMT2";#N/A,#N/A,FALSE,"Summary";#N/A,#N/A,FALSE,"Graphs";#N/A,#N/A,FALSE,"4 Panel"}</definedName>
    <definedName name="_________________New36" hidden="1">{#N/A,#N/A,FALSE,"Full";#N/A,#N/A,FALSE,"Half";#N/A,#N/A,FALSE,"Op Expenses";#N/A,#N/A,FALSE,"Cap Charge";#N/A,#N/A,FALSE,"Cost C";#N/A,#N/A,FALSE,"PP&amp;E";#N/A,#N/A,FALSE,"R&amp;D"}</definedName>
    <definedName name="_________________NEW4" hidden="1">{#N/A,#N/A,FALSE,"Full";#N/A,#N/A,FALSE,"Half";#N/A,#N/A,FALSE,"Op Expenses";#N/A,#N/A,FALSE,"Cap Charge";#N/A,#N/A,FALSE,"Cost C";#N/A,#N/A,FALSE,"PP&amp;E";#N/A,#N/A,FALSE,"R&amp;D"}</definedName>
    <definedName name="_________________OCT2" localSheetId="1" hidden="1">{#N/A,#N/A,FALSE,"BL&amp;GPA";#N/A,#N/A,FALSE,"Summary";#N/A,#N/A,FALSE,"hts"}</definedName>
    <definedName name="_________________OCT2" localSheetId="4" hidden="1">{#N/A,#N/A,FALSE,"BL&amp;GPA";#N/A,#N/A,FALSE,"Summary";#N/A,#N/A,FALSE,"hts"}</definedName>
    <definedName name="_________________OCT2" localSheetId="0" hidden="1">{#N/A,#N/A,FALSE,"BL&amp;GPA";#N/A,#N/A,FALSE,"Summary";#N/A,#N/A,FALSE,"hts"}</definedName>
    <definedName name="_________________OCT2" localSheetId="3" hidden="1">{#N/A,#N/A,FALSE,"BL&amp;GPA";#N/A,#N/A,FALSE,"Summary";#N/A,#N/A,FALSE,"hts"}</definedName>
    <definedName name="_________________OCT2" localSheetId="2" hidden="1">{#N/A,#N/A,FALSE,"BL&amp;GPA";#N/A,#N/A,FALSE,"Summary";#N/A,#N/A,FALSE,"hts"}</definedName>
    <definedName name="_________________OCT2" hidden="1">{#N/A,#N/A,FALSE,"BL&amp;GPA";#N/A,#N/A,FALSE,"Summary";#N/A,#N/A,FALSE,"hts"}</definedName>
    <definedName name="_________________ok1" localSheetId="1" hidden="1">{#N/A,#N/A,FALSE,"balance";#N/A,#N/A,FALSE,"PYG"}</definedName>
    <definedName name="_________________ok1" localSheetId="4" hidden="1">{#N/A,#N/A,FALSE,"balance";#N/A,#N/A,FALSE,"PYG"}</definedName>
    <definedName name="_________________ok1" localSheetId="0" hidden="1">{#N/A,#N/A,FALSE,"balance";#N/A,#N/A,FALSE,"PYG"}</definedName>
    <definedName name="_________________ok1" localSheetId="3" hidden="1">{#N/A,#N/A,FALSE,"balance";#N/A,#N/A,FALSE,"PYG"}</definedName>
    <definedName name="_________________ok1" localSheetId="2" hidden="1">{#N/A,#N/A,FALSE,"balance";#N/A,#N/A,FALSE,"PYG"}</definedName>
    <definedName name="_________________ok1" hidden="1">{#N/A,#N/A,FALSE,"balance";#N/A,#N/A,FALSE,"PYG"}</definedName>
    <definedName name="_________________Ok2" localSheetId="1" hidden="1">{#N/A,#N/A,FALSE,"balance";#N/A,#N/A,FALSE,"PYG"}</definedName>
    <definedName name="_________________Ok2" localSheetId="4" hidden="1">{#N/A,#N/A,FALSE,"balance";#N/A,#N/A,FALSE,"PYG"}</definedName>
    <definedName name="_________________Ok2" localSheetId="0" hidden="1">{#N/A,#N/A,FALSE,"balance";#N/A,#N/A,FALSE,"PYG"}</definedName>
    <definedName name="_________________Ok2" localSheetId="3" hidden="1">{#N/A,#N/A,FALSE,"balance";#N/A,#N/A,FALSE,"PYG"}</definedName>
    <definedName name="_________________Ok2" localSheetId="2" hidden="1">{#N/A,#N/A,FALSE,"balance";#N/A,#N/A,FALSE,"PYG"}</definedName>
    <definedName name="_________________Ok2" hidden="1">{#N/A,#N/A,FALSE,"balance";#N/A,#N/A,FALSE,"PYG"}</definedName>
    <definedName name="_________________PyG2" localSheetId="1" hidden="1">{#N/A,#N/A,FALSE,"balance";#N/A,#N/A,FALSE,"PYG"}</definedName>
    <definedName name="_________________PyG2" localSheetId="4" hidden="1">{#N/A,#N/A,FALSE,"balance";#N/A,#N/A,FALSE,"PYG"}</definedName>
    <definedName name="_________________PyG2" localSheetId="0" hidden="1">{#N/A,#N/A,FALSE,"balance";#N/A,#N/A,FALSE,"PYG"}</definedName>
    <definedName name="_________________PyG2" localSheetId="3" hidden="1">{#N/A,#N/A,FALSE,"balance";#N/A,#N/A,FALSE,"PYG"}</definedName>
    <definedName name="_________________PyG2" localSheetId="2" hidden="1">{#N/A,#N/A,FALSE,"balance";#N/A,#N/A,FALSE,"PYG"}</definedName>
    <definedName name="_________________PyG2" hidden="1">{#N/A,#N/A,FALSE,"balance";#N/A,#N/A,FALSE,"PYG"}</definedName>
    <definedName name="_________________PYG3" localSheetId="1" hidden="1">{#N/A,#N/A,FALSE,"balance";#N/A,#N/A,FALSE,"PYG"}</definedName>
    <definedName name="_________________PYG3" localSheetId="4" hidden="1">{#N/A,#N/A,FALSE,"balance";#N/A,#N/A,FALSE,"PYG"}</definedName>
    <definedName name="_________________PYG3" localSheetId="0" hidden="1">{#N/A,#N/A,FALSE,"balance";#N/A,#N/A,FALSE,"PYG"}</definedName>
    <definedName name="_________________PYG3" localSheetId="3" hidden="1">{#N/A,#N/A,FALSE,"balance";#N/A,#N/A,FALSE,"PYG"}</definedName>
    <definedName name="_________________PYG3" localSheetId="2" hidden="1">{#N/A,#N/A,FALSE,"balance";#N/A,#N/A,FALSE,"PYG"}</definedName>
    <definedName name="_________________PYG3" hidden="1">{#N/A,#N/A,FALSE,"balance";#N/A,#N/A,FALSE,"PYG"}</definedName>
    <definedName name="_________________PyG33" localSheetId="1" hidden="1">{#N/A,#N/A,FALSE,"balance";#N/A,#N/A,FALSE,"PYG"}</definedName>
    <definedName name="_________________PyG33" localSheetId="4" hidden="1">{#N/A,#N/A,FALSE,"balance";#N/A,#N/A,FALSE,"PYG"}</definedName>
    <definedName name="_________________PyG33" localSheetId="0" hidden="1">{#N/A,#N/A,FALSE,"balance";#N/A,#N/A,FALSE,"PYG"}</definedName>
    <definedName name="_________________PyG33" localSheetId="3" hidden="1">{#N/A,#N/A,FALSE,"balance";#N/A,#N/A,FALSE,"PYG"}</definedName>
    <definedName name="_________________PyG33" localSheetId="2" hidden="1">{#N/A,#N/A,FALSE,"balance";#N/A,#N/A,FALSE,"PYG"}</definedName>
    <definedName name="_________________PyG33" hidden="1">{#N/A,#N/A,FALSE,"balance";#N/A,#N/A,FALSE,"PYG"}</definedName>
    <definedName name="_________________R" hidden="1">{#N/A,#N/A,FALSE,"GRAFICO";#N/A,#N/A,FALSE,"CAJA (2)";#N/A,#N/A,FALSE,"TERCEROS-PROMEDIO";#N/A,#N/A,FALSE,"CAJA";#N/A,#N/A,FALSE,"INGRESOS1995-2003";#N/A,#N/A,FALSE,"GASTOS1995-2003"}</definedName>
    <definedName name="________________GGF2" localSheetId="1" hidden="1">{#N/A,#N/A,FALSE,"balance";#N/A,#N/A,FALSE,"PYG"}</definedName>
    <definedName name="________________GGF2" localSheetId="4" hidden="1">{#N/A,#N/A,FALSE,"balance";#N/A,#N/A,FALSE,"PYG"}</definedName>
    <definedName name="________________GGF2" localSheetId="0" hidden="1">{#N/A,#N/A,FALSE,"balance";#N/A,#N/A,FALSE,"PYG"}</definedName>
    <definedName name="________________GGF2" localSheetId="3" hidden="1">{#N/A,#N/A,FALSE,"balance";#N/A,#N/A,FALSE,"PYG"}</definedName>
    <definedName name="________________GGF2" localSheetId="2" hidden="1">{#N/A,#N/A,FALSE,"balance";#N/A,#N/A,FALSE,"PYG"}</definedName>
    <definedName name="________________GGF2" hidden="1">{#N/A,#N/A,FALSE,"balance";#N/A,#N/A,FALSE,"PYG"}</definedName>
    <definedName name="________________new1" hidden="1">{#N/A,#N/A,FALSE,"SMT1";#N/A,#N/A,FALSE,"SMT2";#N/A,#N/A,FALSE,"Summary";#N/A,#N/A,FALSE,"Graphs";#N/A,#N/A,FALSE,"4 Panel"}</definedName>
    <definedName name="________________New15" hidden="1">{"EVA",#N/A,FALSE,"SMT2";#N/A,#N/A,FALSE,"Summary";#N/A,#N/A,FALSE,"Graphs";#N/A,#N/A,FALSE,"4 Panel"}</definedName>
    <definedName name="________________New16" hidden="1">{#N/A,#N/A,FALSE,"SMT1";#N/A,#N/A,FALSE,"SMT2";#N/A,#N/A,FALSE,"Summary";#N/A,#N/A,FALSE,"Graphs";#N/A,#N/A,FALSE,"4 Panel"}</definedName>
    <definedName name="________________New17" hidden="1">{#N/A,#N/A,FALSE,"SMT1";#N/A,#N/A,FALSE,"SMT2";#N/A,#N/A,FALSE,"Summary";#N/A,#N/A,FALSE,"Graphs";#N/A,#N/A,FALSE,"4 Panel"}</definedName>
    <definedName name="________________New18" hidden="1">{#N/A,#N/A,FALSE,"Full";#N/A,#N/A,FALSE,"Half";#N/A,#N/A,FALSE,"Op Expenses";#N/A,#N/A,FALSE,"Cap Charge";#N/A,#N/A,FALSE,"Cost C";#N/A,#N/A,FALSE,"PP&amp;E";#N/A,#N/A,FALSE,"R&amp;D"}</definedName>
    <definedName name="________________New19" hidden="1">{"EVA",#N/A,FALSE,"SMT2";#N/A,#N/A,FALSE,"Summary";#N/A,#N/A,FALSE,"Graphs";#N/A,#N/A,FALSE,"4 Panel"}</definedName>
    <definedName name="________________New20" hidden="1">{#N/A,#N/A,FALSE,"SMT1";#N/A,#N/A,FALSE,"SMT2";#N/A,#N/A,FALSE,"Summary";#N/A,#N/A,FALSE,"Graphs";#N/A,#N/A,FALSE,"4 Panel"}</definedName>
    <definedName name="________________New21" hidden="1">{#N/A,#N/A,FALSE,"Full";#N/A,#N/A,FALSE,"Half";#N/A,#N/A,FALSE,"Op Expenses";#N/A,#N/A,FALSE,"Cap Charge";#N/A,#N/A,FALSE,"Cost C";#N/A,#N/A,FALSE,"PP&amp;E";#N/A,#N/A,FALSE,"R&amp;D"}</definedName>
    <definedName name="________________NEW3" hidden="1">{#N/A,#N/A,FALSE,"SMT1";#N/A,#N/A,FALSE,"SMT2";#N/A,#N/A,FALSE,"Summary";#N/A,#N/A,FALSE,"Graphs";#N/A,#N/A,FALSE,"4 Panel"}</definedName>
    <definedName name="________________nEW30" hidden="1">{"EVA",#N/A,FALSE,"SMT2";#N/A,#N/A,FALSE,"Summary";#N/A,#N/A,FALSE,"Graphs";#N/A,#N/A,FALSE,"4 Panel"}</definedName>
    <definedName name="________________New31" hidden="1">{#N/A,#N/A,FALSE,"SMT1";#N/A,#N/A,FALSE,"SMT2";#N/A,#N/A,FALSE,"Summary";#N/A,#N/A,FALSE,"Graphs";#N/A,#N/A,FALSE,"4 Panel"}</definedName>
    <definedName name="________________New32" hidden="1">{#N/A,#N/A,FALSE,"SMT1";#N/A,#N/A,FALSE,"SMT2";#N/A,#N/A,FALSE,"Summary";#N/A,#N/A,FALSE,"Graphs";#N/A,#N/A,FALSE,"4 Panel"}</definedName>
    <definedName name="________________New33" hidden="1">{#N/A,#N/A,FALSE,"Full";#N/A,#N/A,FALSE,"Half";#N/A,#N/A,FALSE,"Op Expenses";#N/A,#N/A,FALSE,"Cap Charge";#N/A,#N/A,FALSE,"Cost C";#N/A,#N/A,FALSE,"PP&amp;E";#N/A,#N/A,FALSE,"R&amp;D"}</definedName>
    <definedName name="________________New34" hidden="1">{"EVA",#N/A,FALSE,"SMT2";#N/A,#N/A,FALSE,"Summary";#N/A,#N/A,FALSE,"Graphs";#N/A,#N/A,FALSE,"4 Panel"}</definedName>
    <definedName name="________________New35" hidden="1">{#N/A,#N/A,FALSE,"SMT1";#N/A,#N/A,FALSE,"SMT2";#N/A,#N/A,FALSE,"Summary";#N/A,#N/A,FALSE,"Graphs";#N/A,#N/A,FALSE,"4 Panel"}</definedName>
    <definedName name="________________New36" hidden="1">{#N/A,#N/A,FALSE,"Full";#N/A,#N/A,FALSE,"Half";#N/A,#N/A,FALSE,"Op Expenses";#N/A,#N/A,FALSE,"Cap Charge";#N/A,#N/A,FALSE,"Cost C";#N/A,#N/A,FALSE,"PP&amp;E";#N/A,#N/A,FALSE,"R&amp;D"}</definedName>
    <definedName name="________________NEW4" hidden="1">{#N/A,#N/A,FALSE,"Full";#N/A,#N/A,FALSE,"Half";#N/A,#N/A,FALSE,"Op Expenses";#N/A,#N/A,FALSE,"Cap Charge";#N/A,#N/A,FALSE,"Cost C";#N/A,#N/A,FALSE,"PP&amp;E";#N/A,#N/A,FALSE,"R&amp;D"}</definedName>
    <definedName name="________________OCT2" localSheetId="1" hidden="1">{#N/A,#N/A,FALSE,"BL&amp;GPA";#N/A,#N/A,FALSE,"Summary";#N/A,#N/A,FALSE,"hts"}</definedName>
    <definedName name="________________OCT2" localSheetId="4" hidden="1">{#N/A,#N/A,FALSE,"BL&amp;GPA";#N/A,#N/A,FALSE,"Summary";#N/A,#N/A,FALSE,"hts"}</definedName>
    <definedName name="________________OCT2" localSheetId="0" hidden="1">{#N/A,#N/A,FALSE,"BL&amp;GPA";#N/A,#N/A,FALSE,"Summary";#N/A,#N/A,FALSE,"hts"}</definedName>
    <definedName name="________________OCT2" localSheetId="3" hidden="1">{#N/A,#N/A,FALSE,"BL&amp;GPA";#N/A,#N/A,FALSE,"Summary";#N/A,#N/A,FALSE,"hts"}</definedName>
    <definedName name="________________OCT2" localSheetId="2" hidden="1">{#N/A,#N/A,FALSE,"BL&amp;GPA";#N/A,#N/A,FALSE,"Summary";#N/A,#N/A,FALSE,"hts"}</definedName>
    <definedName name="________________OCT2" hidden="1">{#N/A,#N/A,FALSE,"BL&amp;GPA";#N/A,#N/A,FALSE,"Summary";#N/A,#N/A,FALSE,"hts"}</definedName>
    <definedName name="________________ok1" localSheetId="1" hidden="1">{#N/A,#N/A,FALSE,"balance";#N/A,#N/A,FALSE,"PYG"}</definedName>
    <definedName name="________________ok1" localSheetId="4" hidden="1">{#N/A,#N/A,FALSE,"balance";#N/A,#N/A,FALSE,"PYG"}</definedName>
    <definedName name="________________ok1" localSheetId="0" hidden="1">{#N/A,#N/A,FALSE,"balance";#N/A,#N/A,FALSE,"PYG"}</definedName>
    <definedName name="________________ok1" localSheetId="3" hidden="1">{#N/A,#N/A,FALSE,"balance";#N/A,#N/A,FALSE,"PYG"}</definedName>
    <definedName name="________________ok1" localSheetId="2" hidden="1">{#N/A,#N/A,FALSE,"balance";#N/A,#N/A,FALSE,"PYG"}</definedName>
    <definedName name="________________ok1" hidden="1">{#N/A,#N/A,FALSE,"balance";#N/A,#N/A,FALSE,"PYG"}</definedName>
    <definedName name="________________Ok2" localSheetId="1" hidden="1">{#N/A,#N/A,FALSE,"balance";#N/A,#N/A,FALSE,"PYG"}</definedName>
    <definedName name="________________Ok2" localSheetId="4" hidden="1">{#N/A,#N/A,FALSE,"balance";#N/A,#N/A,FALSE,"PYG"}</definedName>
    <definedName name="________________Ok2" localSheetId="0" hidden="1">{#N/A,#N/A,FALSE,"balance";#N/A,#N/A,FALSE,"PYG"}</definedName>
    <definedName name="________________Ok2" localSheetId="3" hidden="1">{#N/A,#N/A,FALSE,"balance";#N/A,#N/A,FALSE,"PYG"}</definedName>
    <definedName name="________________Ok2" localSheetId="2" hidden="1">{#N/A,#N/A,FALSE,"balance";#N/A,#N/A,FALSE,"PYG"}</definedName>
    <definedName name="________________Ok2" hidden="1">{#N/A,#N/A,FALSE,"balance";#N/A,#N/A,FALSE,"PYG"}</definedName>
    <definedName name="________________PyG2" localSheetId="1" hidden="1">{#N/A,#N/A,FALSE,"balance";#N/A,#N/A,FALSE,"PYG"}</definedName>
    <definedName name="________________PyG2" localSheetId="4" hidden="1">{#N/A,#N/A,FALSE,"balance";#N/A,#N/A,FALSE,"PYG"}</definedName>
    <definedName name="________________PyG2" localSheetId="0" hidden="1">{#N/A,#N/A,FALSE,"balance";#N/A,#N/A,FALSE,"PYG"}</definedName>
    <definedName name="________________PyG2" localSheetId="3" hidden="1">{#N/A,#N/A,FALSE,"balance";#N/A,#N/A,FALSE,"PYG"}</definedName>
    <definedName name="________________PyG2" localSheetId="2" hidden="1">{#N/A,#N/A,FALSE,"balance";#N/A,#N/A,FALSE,"PYG"}</definedName>
    <definedName name="________________PyG2" hidden="1">{#N/A,#N/A,FALSE,"balance";#N/A,#N/A,FALSE,"PYG"}</definedName>
    <definedName name="________________PYG3" localSheetId="1" hidden="1">{#N/A,#N/A,FALSE,"balance";#N/A,#N/A,FALSE,"PYG"}</definedName>
    <definedName name="________________PYG3" localSheetId="4" hidden="1">{#N/A,#N/A,FALSE,"balance";#N/A,#N/A,FALSE,"PYG"}</definedName>
    <definedName name="________________PYG3" localSheetId="0" hidden="1">{#N/A,#N/A,FALSE,"balance";#N/A,#N/A,FALSE,"PYG"}</definedName>
    <definedName name="________________PYG3" localSheetId="3" hidden="1">{#N/A,#N/A,FALSE,"balance";#N/A,#N/A,FALSE,"PYG"}</definedName>
    <definedName name="________________PYG3" localSheetId="2" hidden="1">{#N/A,#N/A,FALSE,"balance";#N/A,#N/A,FALSE,"PYG"}</definedName>
    <definedName name="________________PYG3" hidden="1">{#N/A,#N/A,FALSE,"balance";#N/A,#N/A,FALSE,"PYG"}</definedName>
    <definedName name="________________PyG33" localSheetId="1" hidden="1">{#N/A,#N/A,FALSE,"balance";#N/A,#N/A,FALSE,"PYG"}</definedName>
    <definedName name="________________PyG33" localSheetId="4" hidden="1">{#N/A,#N/A,FALSE,"balance";#N/A,#N/A,FALSE,"PYG"}</definedName>
    <definedName name="________________PyG33" localSheetId="0" hidden="1">{#N/A,#N/A,FALSE,"balance";#N/A,#N/A,FALSE,"PYG"}</definedName>
    <definedName name="________________PyG33" localSheetId="3" hidden="1">{#N/A,#N/A,FALSE,"balance";#N/A,#N/A,FALSE,"PYG"}</definedName>
    <definedName name="________________PyG33" localSheetId="2" hidden="1">{#N/A,#N/A,FALSE,"balance";#N/A,#N/A,FALSE,"PYG"}</definedName>
    <definedName name="________________PyG33" hidden="1">{#N/A,#N/A,FALSE,"balance";#N/A,#N/A,FALSE,"PYG"}</definedName>
    <definedName name="________________R" hidden="1">{#N/A,#N/A,FALSE,"GRAFICO";#N/A,#N/A,FALSE,"CAJA (2)";#N/A,#N/A,FALSE,"TERCEROS-PROMEDIO";#N/A,#N/A,FALSE,"CAJA";#N/A,#N/A,FALSE,"INGRESOS1995-2003";#N/A,#N/A,FALSE,"GASTOS1995-2003"}</definedName>
    <definedName name="_______________GGF2" localSheetId="1" hidden="1">{#N/A,#N/A,FALSE,"balance";#N/A,#N/A,FALSE,"PYG"}</definedName>
    <definedName name="_______________GGF2" localSheetId="4" hidden="1">{#N/A,#N/A,FALSE,"balance";#N/A,#N/A,FALSE,"PYG"}</definedName>
    <definedName name="_______________GGF2" localSheetId="0" hidden="1">{#N/A,#N/A,FALSE,"balance";#N/A,#N/A,FALSE,"PYG"}</definedName>
    <definedName name="_______________GGF2" localSheetId="3" hidden="1">{#N/A,#N/A,FALSE,"balance";#N/A,#N/A,FALSE,"PYG"}</definedName>
    <definedName name="_______________GGF2" localSheetId="2" hidden="1">{#N/A,#N/A,FALSE,"balance";#N/A,#N/A,FALSE,"PYG"}</definedName>
    <definedName name="_______________GGF2" hidden="1">{#N/A,#N/A,FALSE,"balance";#N/A,#N/A,FALSE,"PYG"}</definedName>
    <definedName name="_______________new1" hidden="1">{#N/A,#N/A,FALSE,"SMT1";#N/A,#N/A,FALSE,"SMT2";#N/A,#N/A,FALSE,"Summary";#N/A,#N/A,FALSE,"Graphs";#N/A,#N/A,FALSE,"4 Panel"}</definedName>
    <definedName name="_______________New15" hidden="1">{"EVA",#N/A,FALSE,"SMT2";#N/A,#N/A,FALSE,"Summary";#N/A,#N/A,FALSE,"Graphs";#N/A,#N/A,FALSE,"4 Panel"}</definedName>
    <definedName name="_______________New16" hidden="1">{#N/A,#N/A,FALSE,"SMT1";#N/A,#N/A,FALSE,"SMT2";#N/A,#N/A,FALSE,"Summary";#N/A,#N/A,FALSE,"Graphs";#N/A,#N/A,FALSE,"4 Panel"}</definedName>
    <definedName name="_______________New17" hidden="1">{#N/A,#N/A,FALSE,"SMT1";#N/A,#N/A,FALSE,"SMT2";#N/A,#N/A,FALSE,"Summary";#N/A,#N/A,FALSE,"Graphs";#N/A,#N/A,FALSE,"4 Panel"}</definedName>
    <definedName name="_______________New18" hidden="1">{#N/A,#N/A,FALSE,"Full";#N/A,#N/A,FALSE,"Half";#N/A,#N/A,FALSE,"Op Expenses";#N/A,#N/A,FALSE,"Cap Charge";#N/A,#N/A,FALSE,"Cost C";#N/A,#N/A,FALSE,"PP&amp;E";#N/A,#N/A,FALSE,"R&amp;D"}</definedName>
    <definedName name="_______________New19" hidden="1">{"EVA",#N/A,FALSE,"SMT2";#N/A,#N/A,FALSE,"Summary";#N/A,#N/A,FALSE,"Graphs";#N/A,#N/A,FALSE,"4 Panel"}</definedName>
    <definedName name="_______________New20" hidden="1">{#N/A,#N/A,FALSE,"SMT1";#N/A,#N/A,FALSE,"SMT2";#N/A,#N/A,FALSE,"Summary";#N/A,#N/A,FALSE,"Graphs";#N/A,#N/A,FALSE,"4 Panel"}</definedName>
    <definedName name="_______________New21" hidden="1">{#N/A,#N/A,FALSE,"Full";#N/A,#N/A,FALSE,"Half";#N/A,#N/A,FALSE,"Op Expenses";#N/A,#N/A,FALSE,"Cap Charge";#N/A,#N/A,FALSE,"Cost C";#N/A,#N/A,FALSE,"PP&amp;E";#N/A,#N/A,FALSE,"R&amp;D"}</definedName>
    <definedName name="_______________NEW3" hidden="1">{#N/A,#N/A,FALSE,"SMT1";#N/A,#N/A,FALSE,"SMT2";#N/A,#N/A,FALSE,"Summary";#N/A,#N/A,FALSE,"Graphs";#N/A,#N/A,FALSE,"4 Panel"}</definedName>
    <definedName name="_______________nEW30" hidden="1">{"EVA",#N/A,FALSE,"SMT2";#N/A,#N/A,FALSE,"Summary";#N/A,#N/A,FALSE,"Graphs";#N/A,#N/A,FALSE,"4 Panel"}</definedName>
    <definedName name="_______________New31" hidden="1">{#N/A,#N/A,FALSE,"SMT1";#N/A,#N/A,FALSE,"SMT2";#N/A,#N/A,FALSE,"Summary";#N/A,#N/A,FALSE,"Graphs";#N/A,#N/A,FALSE,"4 Panel"}</definedName>
    <definedName name="_______________New32" hidden="1">{#N/A,#N/A,FALSE,"SMT1";#N/A,#N/A,FALSE,"SMT2";#N/A,#N/A,FALSE,"Summary";#N/A,#N/A,FALSE,"Graphs";#N/A,#N/A,FALSE,"4 Panel"}</definedName>
    <definedName name="_______________New33" hidden="1">{#N/A,#N/A,FALSE,"Full";#N/A,#N/A,FALSE,"Half";#N/A,#N/A,FALSE,"Op Expenses";#N/A,#N/A,FALSE,"Cap Charge";#N/A,#N/A,FALSE,"Cost C";#N/A,#N/A,FALSE,"PP&amp;E";#N/A,#N/A,FALSE,"R&amp;D"}</definedName>
    <definedName name="_______________New34" hidden="1">{"EVA",#N/A,FALSE,"SMT2";#N/A,#N/A,FALSE,"Summary";#N/A,#N/A,FALSE,"Graphs";#N/A,#N/A,FALSE,"4 Panel"}</definedName>
    <definedName name="_______________New35" hidden="1">{#N/A,#N/A,FALSE,"SMT1";#N/A,#N/A,FALSE,"SMT2";#N/A,#N/A,FALSE,"Summary";#N/A,#N/A,FALSE,"Graphs";#N/A,#N/A,FALSE,"4 Panel"}</definedName>
    <definedName name="_______________New36" hidden="1">{#N/A,#N/A,FALSE,"Full";#N/A,#N/A,FALSE,"Half";#N/A,#N/A,FALSE,"Op Expenses";#N/A,#N/A,FALSE,"Cap Charge";#N/A,#N/A,FALSE,"Cost C";#N/A,#N/A,FALSE,"PP&amp;E";#N/A,#N/A,FALSE,"R&amp;D"}</definedName>
    <definedName name="_______________NEW4" hidden="1">{#N/A,#N/A,FALSE,"Full";#N/A,#N/A,FALSE,"Half";#N/A,#N/A,FALSE,"Op Expenses";#N/A,#N/A,FALSE,"Cap Charge";#N/A,#N/A,FALSE,"Cost C";#N/A,#N/A,FALSE,"PP&amp;E";#N/A,#N/A,FALSE,"R&amp;D"}</definedName>
    <definedName name="_______________OCT2" localSheetId="1" hidden="1">{#N/A,#N/A,FALSE,"BL&amp;GPA";#N/A,#N/A,FALSE,"Summary";#N/A,#N/A,FALSE,"hts"}</definedName>
    <definedName name="_______________OCT2" localSheetId="4" hidden="1">{#N/A,#N/A,FALSE,"BL&amp;GPA";#N/A,#N/A,FALSE,"Summary";#N/A,#N/A,FALSE,"hts"}</definedName>
    <definedName name="_______________OCT2" localSheetId="0" hidden="1">{#N/A,#N/A,FALSE,"BL&amp;GPA";#N/A,#N/A,FALSE,"Summary";#N/A,#N/A,FALSE,"hts"}</definedName>
    <definedName name="_______________OCT2" localSheetId="3" hidden="1">{#N/A,#N/A,FALSE,"BL&amp;GPA";#N/A,#N/A,FALSE,"Summary";#N/A,#N/A,FALSE,"hts"}</definedName>
    <definedName name="_______________OCT2" localSheetId="2" hidden="1">{#N/A,#N/A,FALSE,"BL&amp;GPA";#N/A,#N/A,FALSE,"Summary";#N/A,#N/A,FALSE,"hts"}</definedName>
    <definedName name="_______________OCT2" hidden="1">{#N/A,#N/A,FALSE,"BL&amp;GPA";#N/A,#N/A,FALSE,"Summary";#N/A,#N/A,FALSE,"hts"}</definedName>
    <definedName name="_______________ok1" localSheetId="1" hidden="1">{#N/A,#N/A,FALSE,"balance";#N/A,#N/A,FALSE,"PYG"}</definedName>
    <definedName name="_______________ok1" localSheetId="4" hidden="1">{#N/A,#N/A,FALSE,"balance";#N/A,#N/A,FALSE,"PYG"}</definedName>
    <definedName name="_______________ok1" localSheetId="0" hidden="1">{#N/A,#N/A,FALSE,"balance";#N/A,#N/A,FALSE,"PYG"}</definedName>
    <definedName name="_______________ok1" localSheetId="3" hidden="1">{#N/A,#N/A,FALSE,"balance";#N/A,#N/A,FALSE,"PYG"}</definedName>
    <definedName name="_______________ok1" localSheetId="2" hidden="1">{#N/A,#N/A,FALSE,"balance";#N/A,#N/A,FALSE,"PYG"}</definedName>
    <definedName name="_______________ok1" hidden="1">{#N/A,#N/A,FALSE,"balance";#N/A,#N/A,FALSE,"PYG"}</definedName>
    <definedName name="_______________Ok2" localSheetId="1" hidden="1">{#N/A,#N/A,FALSE,"balance";#N/A,#N/A,FALSE,"PYG"}</definedName>
    <definedName name="_______________Ok2" localSheetId="4" hidden="1">{#N/A,#N/A,FALSE,"balance";#N/A,#N/A,FALSE,"PYG"}</definedName>
    <definedName name="_______________Ok2" localSheetId="0" hidden="1">{#N/A,#N/A,FALSE,"balance";#N/A,#N/A,FALSE,"PYG"}</definedName>
    <definedName name="_______________Ok2" localSheetId="3" hidden="1">{#N/A,#N/A,FALSE,"balance";#N/A,#N/A,FALSE,"PYG"}</definedName>
    <definedName name="_______________Ok2" localSheetId="2" hidden="1">{#N/A,#N/A,FALSE,"balance";#N/A,#N/A,FALSE,"PYG"}</definedName>
    <definedName name="_______________Ok2" hidden="1">{#N/A,#N/A,FALSE,"balance";#N/A,#N/A,FALSE,"PYG"}</definedName>
    <definedName name="_______________PyG2" localSheetId="1" hidden="1">{#N/A,#N/A,FALSE,"balance";#N/A,#N/A,FALSE,"PYG"}</definedName>
    <definedName name="_______________PyG2" localSheetId="4" hidden="1">{#N/A,#N/A,FALSE,"balance";#N/A,#N/A,FALSE,"PYG"}</definedName>
    <definedName name="_______________PyG2" localSheetId="0" hidden="1">{#N/A,#N/A,FALSE,"balance";#N/A,#N/A,FALSE,"PYG"}</definedName>
    <definedName name="_______________PyG2" localSheetId="3" hidden="1">{#N/A,#N/A,FALSE,"balance";#N/A,#N/A,FALSE,"PYG"}</definedName>
    <definedName name="_______________PyG2" localSheetId="2" hidden="1">{#N/A,#N/A,FALSE,"balance";#N/A,#N/A,FALSE,"PYG"}</definedName>
    <definedName name="_______________PyG2" hidden="1">{#N/A,#N/A,FALSE,"balance";#N/A,#N/A,FALSE,"PYG"}</definedName>
    <definedName name="_______________PYG3" localSheetId="1" hidden="1">{#N/A,#N/A,FALSE,"balance";#N/A,#N/A,FALSE,"PYG"}</definedName>
    <definedName name="_______________PYG3" localSheetId="4" hidden="1">{#N/A,#N/A,FALSE,"balance";#N/A,#N/A,FALSE,"PYG"}</definedName>
    <definedName name="_______________PYG3" localSheetId="0" hidden="1">{#N/A,#N/A,FALSE,"balance";#N/A,#N/A,FALSE,"PYG"}</definedName>
    <definedName name="_______________PYG3" localSheetId="3" hidden="1">{#N/A,#N/A,FALSE,"balance";#N/A,#N/A,FALSE,"PYG"}</definedName>
    <definedName name="_______________PYG3" localSheetId="2" hidden="1">{#N/A,#N/A,FALSE,"balance";#N/A,#N/A,FALSE,"PYG"}</definedName>
    <definedName name="_______________PYG3" hidden="1">{#N/A,#N/A,FALSE,"balance";#N/A,#N/A,FALSE,"PYG"}</definedName>
    <definedName name="_______________PyG33" localSheetId="1" hidden="1">{#N/A,#N/A,FALSE,"balance";#N/A,#N/A,FALSE,"PYG"}</definedName>
    <definedName name="_______________PyG33" localSheetId="4" hidden="1">{#N/A,#N/A,FALSE,"balance";#N/A,#N/A,FALSE,"PYG"}</definedName>
    <definedName name="_______________PyG33" localSheetId="0" hidden="1">{#N/A,#N/A,FALSE,"balance";#N/A,#N/A,FALSE,"PYG"}</definedName>
    <definedName name="_______________PyG33" localSheetId="3" hidden="1">{#N/A,#N/A,FALSE,"balance";#N/A,#N/A,FALSE,"PYG"}</definedName>
    <definedName name="_______________PyG33" localSheetId="2" hidden="1">{#N/A,#N/A,FALSE,"balance";#N/A,#N/A,FALSE,"PYG"}</definedName>
    <definedName name="_______________PyG33" hidden="1">{#N/A,#N/A,FALSE,"balance";#N/A,#N/A,FALSE,"PYG"}</definedName>
    <definedName name="_______________R" hidden="1">{#N/A,#N/A,FALSE,"GRAFICO";#N/A,#N/A,FALSE,"CAJA (2)";#N/A,#N/A,FALSE,"TERCEROS-PROMEDIO";#N/A,#N/A,FALSE,"CAJA";#N/A,#N/A,FALSE,"INGRESOS1995-2003";#N/A,#N/A,FALSE,"GASTOS1995-2003"}</definedName>
    <definedName name="______________GGF2" localSheetId="1" hidden="1">{#N/A,#N/A,FALSE,"balance";#N/A,#N/A,FALSE,"PYG"}</definedName>
    <definedName name="______________GGF2" localSheetId="4" hidden="1">{#N/A,#N/A,FALSE,"balance";#N/A,#N/A,FALSE,"PYG"}</definedName>
    <definedName name="______________GGF2" localSheetId="0" hidden="1">{#N/A,#N/A,FALSE,"balance";#N/A,#N/A,FALSE,"PYG"}</definedName>
    <definedName name="______________GGF2" localSheetId="3" hidden="1">{#N/A,#N/A,FALSE,"balance";#N/A,#N/A,FALSE,"PYG"}</definedName>
    <definedName name="______________GGF2" localSheetId="2" hidden="1">{#N/A,#N/A,FALSE,"balance";#N/A,#N/A,FALSE,"PYG"}</definedName>
    <definedName name="______________GGF2" hidden="1">{#N/A,#N/A,FALSE,"balance";#N/A,#N/A,FALSE,"PYG"}</definedName>
    <definedName name="______________new1" hidden="1">{#N/A,#N/A,FALSE,"SMT1";#N/A,#N/A,FALSE,"SMT2";#N/A,#N/A,FALSE,"Summary";#N/A,#N/A,FALSE,"Graphs";#N/A,#N/A,FALSE,"4 Panel"}</definedName>
    <definedName name="______________New15" hidden="1">{"EVA",#N/A,FALSE,"SMT2";#N/A,#N/A,FALSE,"Summary";#N/A,#N/A,FALSE,"Graphs";#N/A,#N/A,FALSE,"4 Panel"}</definedName>
    <definedName name="______________New16" hidden="1">{#N/A,#N/A,FALSE,"SMT1";#N/A,#N/A,FALSE,"SMT2";#N/A,#N/A,FALSE,"Summary";#N/A,#N/A,FALSE,"Graphs";#N/A,#N/A,FALSE,"4 Panel"}</definedName>
    <definedName name="______________New17" hidden="1">{#N/A,#N/A,FALSE,"SMT1";#N/A,#N/A,FALSE,"SMT2";#N/A,#N/A,FALSE,"Summary";#N/A,#N/A,FALSE,"Graphs";#N/A,#N/A,FALSE,"4 Panel"}</definedName>
    <definedName name="______________New18" hidden="1">{#N/A,#N/A,FALSE,"Full";#N/A,#N/A,FALSE,"Half";#N/A,#N/A,FALSE,"Op Expenses";#N/A,#N/A,FALSE,"Cap Charge";#N/A,#N/A,FALSE,"Cost C";#N/A,#N/A,FALSE,"PP&amp;E";#N/A,#N/A,FALSE,"R&amp;D"}</definedName>
    <definedName name="______________New19" hidden="1">{"EVA",#N/A,FALSE,"SMT2";#N/A,#N/A,FALSE,"Summary";#N/A,#N/A,FALSE,"Graphs";#N/A,#N/A,FALSE,"4 Panel"}</definedName>
    <definedName name="______________New20" hidden="1">{#N/A,#N/A,FALSE,"SMT1";#N/A,#N/A,FALSE,"SMT2";#N/A,#N/A,FALSE,"Summary";#N/A,#N/A,FALSE,"Graphs";#N/A,#N/A,FALSE,"4 Panel"}</definedName>
    <definedName name="______________New21" hidden="1">{#N/A,#N/A,FALSE,"Full";#N/A,#N/A,FALSE,"Half";#N/A,#N/A,FALSE,"Op Expenses";#N/A,#N/A,FALSE,"Cap Charge";#N/A,#N/A,FALSE,"Cost C";#N/A,#N/A,FALSE,"PP&amp;E";#N/A,#N/A,FALSE,"R&amp;D"}</definedName>
    <definedName name="______________NEW3" hidden="1">{#N/A,#N/A,FALSE,"SMT1";#N/A,#N/A,FALSE,"SMT2";#N/A,#N/A,FALSE,"Summary";#N/A,#N/A,FALSE,"Graphs";#N/A,#N/A,FALSE,"4 Panel"}</definedName>
    <definedName name="______________nEW30" hidden="1">{"EVA",#N/A,FALSE,"SMT2";#N/A,#N/A,FALSE,"Summary";#N/A,#N/A,FALSE,"Graphs";#N/A,#N/A,FALSE,"4 Panel"}</definedName>
    <definedName name="______________New31" hidden="1">{#N/A,#N/A,FALSE,"SMT1";#N/A,#N/A,FALSE,"SMT2";#N/A,#N/A,FALSE,"Summary";#N/A,#N/A,FALSE,"Graphs";#N/A,#N/A,FALSE,"4 Panel"}</definedName>
    <definedName name="______________New32" hidden="1">{#N/A,#N/A,FALSE,"SMT1";#N/A,#N/A,FALSE,"SMT2";#N/A,#N/A,FALSE,"Summary";#N/A,#N/A,FALSE,"Graphs";#N/A,#N/A,FALSE,"4 Panel"}</definedName>
    <definedName name="______________New33" hidden="1">{#N/A,#N/A,FALSE,"Full";#N/A,#N/A,FALSE,"Half";#N/A,#N/A,FALSE,"Op Expenses";#N/A,#N/A,FALSE,"Cap Charge";#N/A,#N/A,FALSE,"Cost C";#N/A,#N/A,FALSE,"PP&amp;E";#N/A,#N/A,FALSE,"R&amp;D"}</definedName>
    <definedName name="______________New34" hidden="1">{"EVA",#N/A,FALSE,"SMT2";#N/A,#N/A,FALSE,"Summary";#N/A,#N/A,FALSE,"Graphs";#N/A,#N/A,FALSE,"4 Panel"}</definedName>
    <definedName name="______________New35" hidden="1">{#N/A,#N/A,FALSE,"SMT1";#N/A,#N/A,FALSE,"SMT2";#N/A,#N/A,FALSE,"Summary";#N/A,#N/A,FALSE,"Graphs";#N/A,#N/A,FALSE,"4 Panel"}</definedName>
    <definedName name="______________New36" hidden="1">{#N/A,#N/A,FALSE,"Full";#N/A,#N/A,FALSE,"Half";#N/A,#N/A,FALSE,"Op Expenses";#N/A,#N/A,FALSE,"Cap Charge";#N/A,#N/A,FALSE,"Cost C";#N/A,#N/A,FALSE,"PP&amp;E";#N/A,#N/A,FALSE,"R&amp;D"}</definedName>
    <definedName name="______________NEW4" hidden="1">{#N/A,#N/A,FALSE,"Full";#N/A,#N/A,FALSE,"Half";#N/A,#N/A,FALSE,"Op Expenses";#N/A,#N/A,FALSE,"Cap Charge";#N/A,#N/A,FALSE,"Cost C";#N/A,#N/A,FALSE,"PP&amp;E";#N/A,#N/A,FALSE,"R&amp;D"}</definedName>
    <definedName name="______________OCT2" localSheetId="1" hidden="1">{#N/A,#N/A,FALSE,"BL&amp;GPA";#N/A,#N/A,FALSE,"Summary";#N/A,#N/A,FALSE,"hts"}</definedName>
    <definedName name="______________OCT2" localSheetId="4" hidden="1">{#N/A,#N/A,FALSE,"BL&amp;GPA";#N/A,#N/A,FALSE,"Summary";#N/A,#N/A,FALSE,"hts"}</definedName>
    <definedName name="______________OCT2" localSheetId="0" hidden="1">{#N/A,#N/A,FALSE,"BL&amp;GPA";#N/A,#N/A,FALSE,"Summary";#N/A,#N/A,FALSE,"hts"}</definedName>
    <definedName name="______________OCT2" localSheetId="3" hidden="1">{#N/A,#N/A,FALSE,"BL&amp;GPA";#N/A,#N/A,FALSE,"Summary";#N/A,#N/A,FALSE,"hts"}</definedName>
    <definedName name="______________OCT2" localSheetId="2" hidden="1">{#N/A,#N/A,FALSE,"BL&amp;GPA";#N/A,#N/A,FALSE,"Summary";#N/A,#N/A,FALSE,"hts"}</definedName>
    <definedName name="______________OCT2" hidden="1">{#N/A,#N/A,FALSE,"BL&amp;GPA";#N/A,#N/A,FALSE,"Summary";#N/A,#N/A,FALSE,"hts"}</definedName>
    <definedName name="______________ok1" localSheetId="1" hidden="1">{#N/A,#N/A,FALSE,"balance";#N/A,#N/A,FALSE,"PYG"}</definedName>
    <definedName name="______________ok1" localSheetId="4" hidden="1">{#N/A,#N/A,FALSE,"balance";#N/A,#N/A,FALSE,"PYG"}</definedName>
    <definedName name="______________ok1" localSheetId="0" hidden="1">{#N/A,#N/A,FALSE,"balance";#N/A,#N/A,FALSE,"PYG"}</definedName>
    <definedName name="______________ok1" localSheetId="3" hidden="1">{#N/A,#N/A,FALSE,"balance";#N/A,#N/A,FALSE,"PYG"}</definedName>
    <definedName name="______________ok1" localSheetId="2" hidden="1">{#N/A,#N/A,FALSE,"balance";#N/A,#N/A,FALSE,"PYG"}</definedName>
    <definedName name="______________ok1" hidden="1">{#N/A,#N/A,FALSE,"balance";#N/A,#N/A,FALSE,"PYG"}</definedName>
    <definedName name="______________Ok2" localSheetId="1" hidden="1">{#N/A,#N/A,FALSE,"balance";#N/A,#N/A,FALSE,"PYG"}</definedName>
    <definedName name="______________Ok2" localSheetId="4" hidden="1">{#N/A,#N/A,FALSE,"balance";#N/A,#N/A,FALSE,"PYG"}</definedName>
    <definedName name="______________Ok2" localSheetId="0" hidden="1">{#N/A,#N/A,FALSE,"balance";#N/A,#N/A,FALSE,"PYG"}</definedName>
    <definedName name="______________Ok2" localSheetId="3" hidden="1">{#N/A,#N/A,FALSE,"balance";#N/A,#N/A,FALSE,"PYG"}</definedName>
    <definedName name="______________Ok2" localSheetId="2" hidden="1">{#N/A,#N/A,FALSE,"balance";#N/A,#N/A,FALSE,"PYG"}</definedName>
    <definedName name="______________Ok2" hidden="1">{#N/A,#N/A,FALSE,"balance";#N/A,#N/A,FALSE,"PYG"}</definedName>
    <definedName name="______________PyG2" localSheetId="1" hidden="1">{#N/A,#N/A,FALSE,"balance";#N/A,#N/A,FALSE,"PYG"}</definedName>
    <definedName name="______________PyG2" localSheetId="4" hidden="1">{#N/A,#N/A,FALSE,"balance";#N/A,#N/A,FALSE,"PYG"}</definedName>
    <definedName name="______________PyG2" localSheetId="0" hidden="1">{#N/A,#N/A,FALSE,"balance";#N/A,#N/A,FALSE,"PYG"}</definedName>
    <definedName name="______________PyG2" localSheetId="3" hidden="1">{#N/A,#N/A,FALSE,"balance";#N/A,#N/A,FALSE,"PYG"}</definedName>
    <definedName name="______________PyG2" localSheetId="2" hidden="1">{#N/A,#N/A,FALSE,"balance";#N/A,#N/A,FALSE,"PYG"}</definedName>
    <definedName name="______________PyG2" hidden="1">{#N/A,#N/A,FALSE,"balance";#N/A,#N/A,FALSE,"PYG"}</definedName>
    <definedName name="______________PYG3" localSheetId="1" hidden="1">{#N/A,#N/A,FALSE,"balance";#N/A,#N/A,FALSE,"PYG"}</definedName>
    <definedName name="______________PYG3" localSheetId="4" hidden="1">{#N/A,#N/A,FALSE,"balance";#N/A,#N/A,FALSE,"PYG"}</definedName>
    <definedName name="______________PYG3" localSheetId="0" hidden="1">{#N/A,#N/A,FALSE,"balance";#N/A,#N/A,FALSE,"PYG"}</definedName>
    <definedName name="______________PYG3" localSheetId="3" hidden="1">{#N/A,#N/A,FALSE,"balance";#N/A,#N/A,FALSE,"PYG"}</definedName>
    <definedName name="______________PYG3" localSheetId="2" hidden="1">{#N/A,#N/A,FALSE,"balance";#N/A,#N/A,FALSE,"PYG"}</definedName>
    <definedName name="______________PYG3" hidden="1">{#N/A,#N/A,FALSE,"balance";#N/A,#N/A,FALSE,"PYG"}</definedName>
    <definedName name="______________PyG33" localSheetId="1" hidden="1">{#N/A,#N/A,FALSE,"balance";#N/A,#N/A,FALSE,"PYG"}</definedName>
    <definedName name="______________PyG33" localSheetId="4" hidden="1">{#N/A,#N/A,FALSE,"balance";#N/A,#N/A,FALSE,"PYG"}</definedName>
    <definedName name="______________PyG33" localSheetId="0" hidden="1">{#N/A,#N/A,FALSE,"balance";#N/A,#N/A,FALSE,"PYG"}</definedName>
    <definedName name="______________PyG33" localSheetId="3" hidden="1">{#N/A,#N/A,FALSE,"balance";#N/A,#N/A,FALSE,"PYG"}</definedName>
    <definedName name="______________PyG33" localSheetId="2" hidden="1">{#N/A,#N/A,FALSE,"balance";#N/A,#N/A,FALSE,"PYG"}</definedName>
    <definedName name="______________PyG33" hidden="1">{#N/A,#N/A,FALSE,"balance";#N/A,#N/A,FALSE,"PYG"}</definedName>
    <definedName name="_____________GGF2" localSheetId="4" hidden="1">{#N/A,#N/A,FALSE,"balance";#N/A,#N/A,FALSE,"PYG"}</definedName>
    <definedName name="_____________GGF2" localSheetId="3" hidden="1">{#N/A,#N/A,FALSE,"balance";#N/A,#N/A,FALSE,"PYG"}</definedName>
    <definedName name="_____________GGF2" localSheetId="2" hidden="1">{#N/A,#N/A,FALSE,"balance";#N/A,#N/A,FALSE,"PYG"}</definedName>
    <definedName name="_____________GGF2" hidden="1">{#N/A,#N/A,FALSE,"balance";#N/A,#N/A,FALSE,"PYG"}</definedName>
    <definedName name="_____________new1" hidden="1">{#N/A,#N/A,FALSE,"SMT1";#N/A,#N/A,FALSE,"SMT2";#N/A,#N/A,FALSE,"Summary";#N/A,#N/A,FALSE,"Graphs";#N/A,#N/A,FALSE,"4 Panel"}</definedName>
    <definedName name="_____________New15" hidden="1">{"EVA",#N/A,FALSE,"SMT2";#N/A,#N/A,FALSE,"Summary";#N/A,#N/A,FALSE,"Graphs";#N/A,#N/A,FALSE,"4 Panel"}</definedName>
    <definedName name="_____________New16" hidden="1">{#N/A,#N/A,FALSE,"SMT1";#N/A,#N/A,FALSE,"SMT2";#N/A,#N/A,FALSE,"Summary";#N/A,#N/A,FALSE,"Graphs";#N/A,#N/A,FALSE,"4 Panel"}</definedName>
    <definedName name="_____________New17" hidden="1">{#N/A,#N/A,FALSE,"SMT1";#N/A,#N/A,FALSE,"SMT2";#N/A,#N/A,FALSE,"Summary";#N/A,#N/A,FALSE,"Graphs";#N/A,#N/A,FALSE,"4 Panel"}</definedName>
    <definedName name="_____________New18" hidden="1">{#N/A,#N/A,FALSE,"Full";#N/A,#N/A,FALSE,"Half";#N/A,#N/A,FALSE,"Op Expenses";#N/A,#N/A,FALSE,"Cap Charge";#N/A,#N/A,FALSE,"Cost C";#N/A,#N/A,FALSE,"PP&amp;E";#N/A,#N/A,FALSE,"R&amp;D"}</definedName>
    <definedName name="_____________New19" hidden="1">{"EVA",#N/A,FALSE,"SMT2";#N/A,#N/A,FALSE,"Summary";#N/A,#N/A,FALSE,"Graphs";#N/A,#N/A,FALSE,"4 Panel"}</definedName>
    <definedName name="_____________New20" hidden="1">{#N/A,#N/A,FALSE,"SMT1";#N/A,#N/A,FALSE,"SMT2";#N/A,#N/A,FALSE,"Summary";#N/A,#N/A,FALSE,"Graphs";#N/A,#N/A,FALSE,"4 Panel"}</definedName>
    <definedName name="_____________New21" hidden="1">{#N/A,#N/A,FALSE,"Full";#N/A,#N/A,FALSE,"Half";#N/A,#N/A,FALSE,"Op Expenses";#N/A,#N/A,FALSE,"Cap Charge";#N/A,#N/A,FALSE,"Cost C";#N/A,#N/A,FALSE,"PP&amp;E";#N/A,#N/A,FALSE,"R&amp;D"}</definedName>
    <definedName name="_____________NEW3" hidden="1">{#N/A,#N/A,FALSE,"SMT1";#N/A,#N/A,FALSE,"SMT2";#N/A,#N/A,FALSE,"Summary";#N/A,#N/A,FALSE,"Graphs";#N/A,#N/A,FALSE,"4 Panel"}</definedName>
    <definedName name="_____________nEW30" hidden="1">{"EVA",#N/A,FALSE,"SMT2";#N/A,#N/A,FALSE,"Summary";#N/A,#N/A,FALSE,"Graphs";#N/A,#N/A,FALSE,"4 Panel"}</definedName>
    <definedName name="_____________New31" hidden="1">{#N/A,#N/A,FALSE,"SMT1";#N/A,#N/A,FALSE,"SMT2";#N/A,#N/A,FALSE,"Summary";#N/A,#N/A,FALSE,"Graphs";#N/A,#N/A,FALSE,"4 Panel"}</definedName>
    <definedName name="_____________New32" hidden="1">{#N/A,#N/A,FALSE,"SMT1";#N/A,#N/A,FALSE,"SMT2";#N/A,#N/A,FALSE,"Summary";#N/A,#N/A,FALSE,"Graphs";#N/A,#N/A,FALSE,"4 Panel"}</definedName>
    <definedName name="_____________New33" hidden="1">{#N/A,#N/A,FALSE,"Full";#N/A,#N/A,FALSE,"Half";#N/A,#N/A,FALSE,"Op Expenses";#N/A,#N/A,FALSE,"Cap Charge";#N/A,#N/A,FALSE,"Cost C";#N/A,#N/A,FALSE,"PP&amp;E";#N/A,#N/A,FALSE,"R&amp;D"}</definedName>
    <definedName name="_____________New34" hidden="1">{"EVA",#N/A,FALSE,"SMT2";#N/A,#N/A,FALSE,"Summary";#N/A,#N/A,FALSE,"Graphs";#N/A,#N/A,FALSE,"4 Panel"}</definedName>
    <definedName name="_____________New35" hidden="1">{#N/A,#N/A,FALSE,"SMT1";#N/A,#N/A,FALSE,"SMT2";#N/A,#N/A,FALSE,"Summary";#N/A,#N/A,FALSE,"Graphs";#N/A,#N/A,FALSE,"4 Panel"}</definedName>
    <definedName name="_____________New36" hidden="1">{#N/A,#N/A,FALSE,"Full";#N/A,#N/A,FALSE,"Half";#N/A,#N/A,FALSE,"Op Expenses";#N/A,#N/A,FALSE,"Cap Charge";#N/A,#N/A,FALSE,"Cost C";#N/A,#N/A,FALSE,"PP&amp;E";#N/A,#N/A,FALSE,"R&amp;D"}</definedName>
    <definedName name="_____________NEW4" hidden="1">{#N/A,#N/A,FALSE,"Full";#N/A,#N/A,FALSE,"Half";#N/A,#N/A,FALSE,"Op Expenses";#N/A,#N/A,FALSE,"Cap Charge";#N/A,#N/A,FALSE,"Cost C";#N/A,#N/A,FALSE,"PP&amp;E";#N/A,#N/A,FALSE,"R&amp;D"}</definedName>
    <definedName name="_____________OCT2" localSheetId="4" hidden="1">{#N/A,#N/A,FALSE,"BL&amp;GPA";#N/A,#N/A,FALSE,"Summary";#N/A,#N/A,FALSE,"hts"}</definedName>
    <definedName name="_____________OCT2" localSheetId="3" hidden="1">{#N/A,#N/A,FALSE,"BL&amp;GPA";#N/A,#N/A,FALSE,"Summary";#N/A,#N/A,FALSE,"hts"}</definedName>
    <definedName name="_____________OCT2" localSheetId="2" hidden="1">{#N/A,#N/A,FALSE,"BL&amp;GPA";#N/A,#N/A,FALSE,"Summary";#N/A,#N/A,FALSE,"hts"}</definedName>
    <definedName name="_____________OCT2" hidden="1">{#N/A,#N/A,FALSE,"BL&amp;GPA";#N/A,#N/A,FALSE,"Summary";#N/A,#N/A,FALSE,"hts"}</definedName>
    <definedName name="_____________ok1" localSheetId="4" hidden="1">{#N/A,#N/A,FALSE,"balance";#N/A,#N/A,FALSE,"PYG"}</definedName>
    <definedName name="_____________ok1" localSheetId="3" hidden="1">{#N/A,#N/A,FALSE,"balance";#N/A,#N/A,FALSE,"PYG"}</definedName>
    <definedName name="_____________ok1" localSheetId="2" hidden="1">{#N/A,#N/A,FALSE,"balance";#N/A,#N/A,FALSE,"PYG"}</definedName>
    <definedName name="_____________ok1" hidden="1">{#N/A,#N/A,FALSE,"balance";#N/A,#N/A,FALSE,"PYG"}</definedName>
    <definedName name="_____________Ok2" localSheetId="4" hidden="1">{#N/A,#N/A,FALSE,"balance";#N/A,#N/A,FALSE,"PYG"}</definedName>
    <definedName name="_____________Ok2" localSheetId="3" hidden="1">{#N/A,#N/A,FALSE,"balance";#N/A,#N/A,FALSE,"PYG"}</definedName>
    <definedName name="_____________Ok2" localSheetId="2" hidden="1">{#N/A,#N/A,FALSE,"balance";#N/A,#N/A,FALSE,"PYG"}</definedName>
    <definedName name="_____________Ok2" hidden="1">{#N/A,#N/A,FALSE,"balance";#N/A,#N/A,FALSE,"PYG"}</definedName>
    <definedName name="_____________PyG2" localSheetId="4" hidden="1">{#N/A,#N/A,FALSE,"balance";#N/A,#N/A,FALSE,"PYG"}</definedName>
    <definedName name="_____________PyG2" localSheetId="3" hidden="1">{#N/A,#N/A,FALSE,"balance";#N/A,#N/A,FALSE,"PYG"}</definedName>
    <definedName name="_____________PyG2" localSheetId="2" hidden="1">{#N/A,#N/A,FALSE,"balance";#N/A,#N/A,FALSE,"PYG"}</definedName>
    <definedName name="_____________PyG2" hidden="1">{#N/A,#N/A,FALSE,"balance";#N/A,#N/A,FALSE,"PYG"}</definedName>
    <definedName name="_____________PYG3" localSheetId="4" hidden="1">{#N/A,#N/A,FALSE,"balance";#N/A,#N/A,FALSE,"PYG"}</definedName>
    <definedName name="_____________PYG3" localSheetId="3" hidden="1">{#N/A,#N/A,FALSE,"balance";#N/A,#N/A,FALSE,"PYG"}</definedName>
    <definedName name="_____________PYG3" localSheetId="2" hidden="1">{#N/A,#N/A,FALSE,"balance";#N/A,#N/A,FALSE,"PYG"}</definedName>
    <definedName name="_____________PYG3" hidden="1">{#N/A,#N/A,FALSE,"balance";#N/A,#N/A,FALSE,"PYG"}</definedName>
    <definedName name="_____________PyG33" localSheetId="4" hidden="1">{#N/A,#N/A,FALSE,"balance";#N/A,#N/A,FALSE,"PYG"}</definedName>
    <definedName name="_____________PyG33" localSheetId="3" hidden="1">{#N/A,#N/A,FALSE,"balance";#N/A,#N/A,FALSE,"PYG"}</definedName>
    <definedName name="_____________PyG33" localSheetId="2" hidden="1">{#N/A,#N/A,FALSE,"balance";#N/A,#N/A,FALSE,"PYG"}</definedName>
    <definedName name="_____________PyG33" hidden="1">{#N/A,#N/A,FALSE,"balance";#N/A,#N/A,FALSE,"PYG"}</definedName>
    <definedName name="_____________R" hidden="1">{#N/A,#N/A,FALSE,"GRAFICO";#N/A,#N/A,FALSE,"CAJA (2)";#N/A,#N/A,FALSE,"TERCEROS-PROMEDIO";#N/A,#N/A,FALSE,"CAJA";#N/A,#N/A,FALSE,"INGRESOS1995-2003";#N/A,#N/A,FALSE,"GASTOS1995-2003"}</definedName>
    <definedName name="____________GGF2" localSheetId="1" hidden="1">{#N/A,#N/A,FALSE,"balance";#N/A,#N/A,FALSE,"PYG"}</definedName>
    <definedName name="____________GGF2" localSheetId="4" hidden="1">{#N/A,#N/A,FALSE,"balance";#N/A,#N/A,FALSE,"PYG"}</definedName>
    <definedName name="____________GGF2" localSheetId="0" hidden="1">{#N/A,#N/A,FALSE,"balance";#N/A,#N/A,FALSE,"PYG"}</definedName>
    <definedName name="____________GGF2" localSheetId="3" hidden="1">{#N/A,#N/A,FALSE,"balance";#N/A,#N/A,FALSE,"PYG"}</definedName>
    <definedName name="____________GGF2" localSheetId="2" hidden="1">{#N/A,#N/A,FALSE,"balance";#N/A,#N/A,FALSE,"PYG"}</definedName>
    <definedName name="____________GGF2" hidden="1">{#N/A,#N/A,FALSE,"balance";#N/A,#N/A,FALSE,"PYG"}</definedName>
    <definedName name="____________new1" hidden="1">{#N/A,#N/A,FALSE,"SMT1";#N/A,#N/A,FALSE,"SMT2";#N/A,#N/A,FALSE,"Summary";#N/A,#N/A,FALSE,"Graphs";#N/A,#N/A,FALSE,"4 Panel"}</definedName>
    <definedName name="____________New15" hidden="1">{"EVA",#N/A,FALSE,"SMT2";#N/A,#N/A,FALSE,"Summary";#N/A,#N/A,FALSE,"Graphs";#N/A,#N/A,FALSE,"4 Panel"}</definedName>
    <definedName name="____________New16" hidden="1">{#N/A,#N/A,FALSE,"SMT1";#N/A,#N/A,FALSE,"SMT2";#N/A,#N/A,FALSE,"Summary";#N/A,#N/A,FALSE,"Graphs";#N/A,#N/A,FALSE,"4 Panel"}</definedName>
    <definedName name="____________New17" hidden="1">{#N/A,#N/A,FALSE,"SMT1";#N/A,#N/A,FALSE,"SMT2";#N/A,#N/A,FALSE,"Summary";#N/A,#N/A,FALSE,"Graphs";#N/A,#N/A,FALSE,"4 Panel"}</definedName>
    <definedName name="____________New18" hidden="1">{#N/A,#N/A,FALSE,"Full";#N/A,#N/A,FALSE,"Half";#N/A,#N/A,FALSE,"Op Expenses";#N/A,#N/A,FALSE,"Cap Charge";#N/A,#N/A,FALSE,"Cost C";#N/A,#N/A,FALSE,"PP&amp;E";#N/A,#N/A,FALSE,"R&amp;D"}</definedName>
    <definedName name="____________New19" hidden="1">{"EVA",#N/A,FALSE,"SMT2";#N/A,#N/A,FALSE,"Summary";#N/A,#N/A,FALSE,"Graphs";#N/A,#N/A,FALSE,"4 Panel"}</definedName>
    <definedName name="____________New20" hidden="1">{#N/A,#N/A,FALSE,"SMT1";#N/A,#N/A,FALSE,"SMT2";#N/A,#N/A,FALSE,"Summary";#N/A,#N/A,FALSE,"Graphs";#N/A,#N/A,FALSE,"4 Panel"}</definedName>
    <definedName name="____________New21" hidden="1">{#N/A,#N/A,FALSE,"Full";#N/A,#N/A,FALSE,"Half";#N/A,#N/A,FALSE,"Op Expenses";#N/A,#N/A,FALSE,"Cap Charge";#N/A,#N/A,FALSE,"Cost C";#N/A,#N/A,FALSE,"PP&amp;E";#N/A,#N/A,FALSE,"R&amp;D"}</definedName>
    <definedName name="____________NEW3" hidden="1">{#N/A,#N/A,FALSE,"SMT1";#N/A,#N/A,FALSE,"SMT2";#N/A,#N/A,FALSE,"Summary";#N/A,#N/A,FALSE,"Graphs";#N/A,#N/A,FALSE,"4 Panel"}</definedName>
    <definedName name="____________nEW30" hidden="1">{"EVA",#N/A,FALSE,"SMT2";#N/A,#N/A,FALSE,"Summary";#N/A,#N/A,FALSE,"Graphs";#N/A,#N/A,FALSE,"4 Panel"}</definedName>
    <definedName name="____________New31" hidden="1">{#N/A,#N/A,FALSE,"SMT1";#N/A,#N/A,FALSE,"SMT2";#N/A,#N/A,FALSE,"Summary";#N/A,#N/A,FALSE,"Graphs";#N/A,#N/A,FALSE,"4 Panel"}</definedName>
    <definedName name="____________New32" hidden="1">{#N/A,#N/A,FALSE,"SMT1";#N/A,#N/A,FALSE,"SMT2";#N/A,#N/A,FALSE,"Summary";#N/A,#N/A,FALSE,"Graphs";#N/A,#N/A,FALSE,"4 Panel"}</definedName>
    <definedName name="____________New33" hidden="1">{#N/A,#N/A,FALSE,"Full";#N/A,#N/A,FALSE,"Half";#N/A,#N/A,FALSE,"Op Expenses";#N/A,#N/A,FALSE,"Cap Charge";#N/A,#N/A,FALSE,"Cost C";#N/A,#N/A,FALSE,"PP&amp;E";#N/A,#N/A,FALSE,"R&amp;D"}</definedName>
    <definedName name="____________New34" hidden="1">{"EVA",#N/A,FALSE,"SMT2";#N/A,#N/A,FALSE,"Summary";#N/A,#N/A,FALSE,"Graphs";#N/A,#N/A,FALSE,"4 Panel"}</definedName>
    <definedName name="____________New35" hidden="1">{#N/A,#N/A,FALSE,"SMT1";#N/A,#N/A,FALSE,"SMT2";#N/A,#N/A,FALSE,"Summary";#N/A,#N/A,FALSE,"Graphs";#N/A,#N/A,FALSE,"4 Panel"}</definedName>
    <definedName name="____________New36" hidden="1">{#N/A,#N/A,FALSE,"Full";#N/A,#N/A,FALSE,"Half";#N/A,#N/A,FALSE,"Op Expenses";#N/A,#N/A,FALSE,"Cap Charge";#N/A,#N/A,FALSE,"Cost C";#N/A,#N/A,FALSE,"PP&amp;E";#N/A,#N/A,FALSE,"R&amp;D"}</definedName>
    <definedName name="____________NEW4" hidden="1">{#N/A,#N/A,FALSE,"Full";#N/A,#N/A,FALSE,"Half";#N/A,#N/A,FALSE,"Op Expenses";#N/A,#N/A,FALSE,"Cap Charge";#N/A,#N/A,FALSE,"Cost C";#N/A,#N/A,FALSE,"PP&amp;E";#N/A,#N/A,FALSE,"R&amp;D"}</definedName>
    <definedName name="____________OCT2" localSheetId="1" hidden="1">{#N/A,#N/A,FALSE,"BL&amp;GPA";#N/A,#N/A,FALSE,"Summary";#N/A,#N/A,FALSE,"hts"}</definedName>
    <definedName name="____________OCT2" localSheetId="4" hidden="1">{#N/A,#N/A,FALSE,"BL&amp;GPA";#N/A,#N/A,FALSE,"Summary";#N/A,#N/A,FALSE,"hts"}</definedName>
    <definedName name="____________OCT2" localSheetId="0" hidden="1">{#N/A,#N/A,FALSE,"BL&amp;GPA";#N/A,#N/A,FALSE,"Summary";#N/A,#N/A,FALSE,"hts"}</definedName>
    <definedName name="____________OCT2" localSheetId="3" hidden="1">{#N/A,#N/A,FALSE,"BL&amp;GPA";#N/A,#N/A,FALSE,"Summary";#N/A,#N/A,FALSE,"hts"}</definedName>
    <definedName name="____________OCT2" localSheetId="2" hidden="1">{#N/A,#N/A,FALSE,"BL&amp;GPA";#N/A,#N/A,FALSE,"Summary";#N/A,#N/A,FALSE,"hts"}</definedName>
    <definedName name="____________OCT2" hidden="1">{#N/A,#N/A,FALSE,"BL&amp;GPA";#N/A,#N/A,FALSE,"Summary";#N/A,#N/A,FALSE,"hts"}</definedName>
    <definedName name="____________ok1" localSheetId="1" hidden="1">{#N/A,#N/A,FALSE,"balance";#N/A,#N/A,FALSE,"PYG"}</definedName>
    <definedName name="____________ok1" localSheetId="4" hidden="1">{#N/A,#N/A,FALSE,"balance";#N/A,#N/A,FALSE,"PYG"}</definedName>
    <definedName name="____________ok1" localSheetId="0" hidden="1">{#N/A,#N/A,FALSE,"balance";#N/A,#N/A,FALSE,"PYG"}</definedName>
    <definedName name="____________ok1" localSheetId="3" hidden="1">{#N/A,#N/A,FALSE,"balance";#N/A,#N/A,FALSE,"PYG"}</definedName>
    <definedName name="____________ok1" localSheetId="2" hidden="1">{#N/A,#N/A,FALSE,"balance";#N/A,#N/A,FALSE,"PYG"}</definedName>
    <definedName name="____________ok1" hidden="1">{#N/A,#N/A,FALSE,"balance";#N/A,#N/A,FALSE,"PYG"}</definedName>
    <definedName name="____________Ok2" localSheetId="1" hidden="1">{#N/A,#N/A,FALSE,"balance";#N/A,#N/A,FALSE,"PYG"}</definedName>
    <definedName name="____________Ok2" localSheetId="4" hidden="1">{#N/A,#N/A,FALSE,"balance";#N/A,#N/A,FALSE,"PYG"}</definedName>
    <definedName name="____________Ok2" localSheetId="0" hidden="1">{#N/A,#N/A,FALSE,"balance";#N/A,#N/A,FALSE,"PYG"}</definedName>
    <definedName name="____________Ok2" localSheetId="3" hidden="1">{#N/A,#N/A,FALSE,"balance";#N/A,#N/A,FALSE,"PYG"}</definedName>
    <definedName name="____________Ok2" localSheetId="2" hidden="1">{#N/A,#N/A,FALSE,"balance";#N/A,#N/A,FALSE,"PYG"}</definedName>
    <definedName name="____________Ok2" hidden="1">{#N/A,#N/A,FALSE,"balance";#N/A,#N/A,FALSE,"PYG"}</definedName>
    <definedName name="____________PyG2" localSheetId="1" hidden="1">{#N/A,#N/A,FALSE,"balance";#N/A,#N/A,FALSE,"PYG"}</definedName>
    <definedName name="____________PyG2" localSheetId="4" hidden="1">{#N/A,#N/A,FALSE,"balance";#N/A,#N/A,FALSE,"PYG"}</definedName>
    <definedName name="____________PyG2" localSheetId="0" hidden="1">{#N/A,#N/A,FALSE,"balance";#N/A,#N/A,FALSE,"PYG"}</definedName>
    <definedName name="____________PyG2" localSheetId="3" hidden="1">{#N/A,#N/A,FALSE,"balance";#N/A,#N/A,FALSE,"PYG"}</definedName>
    <definedName name="____________PyG2" localSheetId="2" hidden="1">{#N/A,#N/A,FALSE,"balance";#N/A,#N/A,FALSE,"PYG"}</definedName>
    <definedName name="____________PyG2" hidden="1">{#N/A,#N/A,FALSE,"balance";#N/A,#N/A,FALSE,"PYG"}</definedName>
    <definedName name="____________PYG3" localSheetId="1" hidden="1">{#N/A,#N/A,FALSE,"balance";#N/A,#N/A,FALSE,"PYG"}</definedName>
    <definedName name="____________PYG3" localSheetId="4" hidden="1">{#N/A,#N/A,FALSE,"balance";#N/A,#N/A,FALSE,"PYG"}</definedName>
    <definedName name="____________PYG3" localSheetId="0" hidden="1">{#N/A,#N/A,FALSE,"balance";#N/A,#N/A,FALSE,"PYG"}</definedName>
    <definedName name="____________PYG3" localSheetId="3" hidden="1">{#N/A,#N/A,FALSE,"balance";#N/A,#N/A,FALSE,"PYG"}</definedName>
    <definedName name="____________PYG3" localSheetId="2" hidden="1">{#N/A,#N/A,FALSE,"balance";#N/A,#N/A,FALSE,"PYG"}</definedName>
    <definedName name="____________PYG3" hidden="1">{#N/A,#N/A,FALSE,"balance";#N/A,#N/A,FALSE,"PYG"}</definedName>
    <definedName name="____________PyG33" localSheetId="1" hidden="1">{#N/A,#N/A,FALSE,"balance";#N/A,#N/A,FALSE,"PYG"}</definedName>
    <definedName name="____________PyG33" localSheetId="4" hidden="1">{#N/A,#N/A,FALSE,"balance";#N/A,#N/A,FALSE,"PYG"}</definedName>
    <definedName name="____________PyG33" localSheetId="0" hidden="1">{#N/A,#N/A,FALSE,"balance";#N/A,#N/A,FALSE,"PYG"}</definedName>
    <definedName name="____________PyG33" localSheetId="3" hidden="1">{#N/A,#N/A,FALSE,"balance";#N/A,#N/A,FALSE,"PYG"}</definedName>
    <definedName name="____________PyG33" localSheetId="2" hidden="1">{#N/A,#N/A,FALSE,"balance";#N/A,#N/A,FALSE,"PYG"}</definedName>
    <definedName name="____________PyG33" hidden="1">{#N/A,#N/A,FALSE,"balance";#N/A,#N/A,FALSE,"PYG"}</definedName>
    <definedName name="____________R" hidden="1">{#N/A,#N/A,FALSE,"GRAFICO";#N/A,#N/A,FALSE,"CAJA (2)";#N/A,#N/A,FALSE,"TERCEROS-PROMEDIO";#N/A,#N/A,FALSE,"CAJA";#N/A,#N/A,FALSE,"INGRESOS1995-2003";#N/A,#N/A,FALSE,"GASTOS1995-2003"}</definedName>
    <definedName name="___________GGF2" localSheetId="1" hidden="1">{#N/A,#N/A,FALSE,"balance";#N/A,#N/A,FALSE,"PYG"}</definedName>
    <definedName name="___________GGF2" localSheetId="4" hidden="1">{#N/A,#N/A,FALSE,"balance";#N/A,#N/A,FALSE,"PYG"}</definedName>
    <definedName name="___________GGF2" localSheetId="0" hidden="1">{#N/A,#N/A,FALSE,"balance";#N/A,#N/A,FALSE,"PYG"}</definedName>
    <definedName name="___________GGF2" localSheetId="3" hidden="1">{#N/A,#N/A,FALSE,"balance";#N/A,#N/A,FALSE,"PYG"}</definedName>
    <definedName name="___________GGF2" localSheetId="2" hidden="1">{#N/A,#N/A,FALSE,"balance";#N/A,#N/A,FALSE,"PYG"}</definedName>
    <definedName name="___________GGF2" hidden="1">{#N/A,#N/A,FALSE,"balance";#N/A,#N/A,FALSE,"PYG"}</definedName>
    <definedName name="___________new1" hidden="1">{#N/A,#N/A,FALSE,"SMT1";#N/A,#N/A,FALSE,"SMT2";#N/A,#N/A,FALSE,"Summary";#N/A,#N/A,FALSE,"Graphs";#N/A,#N/A,FALSE,"4 Panel"}</definedName>
    <definedName name="___________New15" hidden="1">{"EVA",#N/A,FALSE,"SMT2";#N/A,#N/A,FALSE,"Summary";#N/A,#N/A,FALSE,"Graphs";#N/A,#N/A,FALSE,"4 Panel"}</definedName>
    <definedName name="___________New16" hidden="1">{#N/A,#N/A,FALSE,"SMT1";#N/A,#N/A,FALSE,"SMT2";#N/A,#N/A,FALSE,"Summary";#N/A,#N/A,FALSE,"Graphs";#N/A,#N/A,FALSE,"4 Panel"}</definedName>
    <definedName name="___________New17" hidden="1">{#N/A,#N/A,FALSE,"SMT1";#N/A,#N/A,FALSE,"SMT2";#N/A,#N/A,FALSE,"Summary";#N/A,#N/A,FALSE,"Graphs";#N/A,#N/A,FALSE,"4 Panel"}</definedName>
    <definedName name="___________New18" hidden="1">{#N/A,#N/A,FALSE,"Full";#N/A,#N/A,FALSE,"Half";#N/A,#N/A,FALSE,"Op Expenses";#N/A,#N/A,FALSE,"Cap Charge";#N/A,#N/A,FALSE,"Cost C";#N/A,#N/A,FALSE,"PP&amp;E";#N/A,#N/A,FALSE,"R&amp;D"}</definedName>
    <definedName name="___________New19" hidden="1">{"EVA",#N/A,FALSE,"SMT2";#N/A,#N/A,FALSE,"Summary";#N/A,#N/A,FALSE,"Graphs";#N/A,#N/A,FALSE,"4 Panel"}</definedName>
    <definedName name="___________New20" hidden="1">{#N/A,#N/A,FALSE,"SMT1";#N/A,#N/A,FALSE,"SMT2";#N/A,#N/A,FALSE,"Summary";#N/A,#N/A,FALSE,"Graphs";#N/A,#N/A,FALSE,"4 Panel"}</definedName>
    <definedName name="___________New21" hidden="1">{#N/A,#N/A,FALSE,"Full";#N/A,#N/A,FALSE,"Half";#N/A,#N/A,FALSE,"Op Expenses";#N/A,#N/A,FALSE,"Cap Charge";#N/A,#N/A,FALSE,"Cost C";#N/A,#N/A,FALSE,"PP&amp;E";#N/A,#N/A,FALSE,"R&amp;D"}</definedName>
    <definedName name="___________NEW3" hidden="1">{#N/A,#N/A,FALSE,"SMT1";#N/A,#N/A,FALSE,"SMT2";#N/A,#N/A,FALSE,"Summary";#N/A,#N/A,FALSE,"Graphs";#N/A,#N/A,FALSE,"4 Panel"}</definedName>
    <definedName name="___________nEW30" hidden="1">{"EVA",#N/A,FALSE,"SMT2";#N/A,#N/A,FALSE,"Summary";#N/A,#N/A,FALSE,"Graphs";#N/A,#N/A,FALSE,"4 Panel"}</definedName>
    <definedName name="___________New31" hidden="1">{#N/A,#N/A,FALSE,"SMT1";#N/A,#N/A,FALSE,"SMT2";#N/A,#N/A,FALSE,"Summary";#N/A,#N/A,FALSE,"Graphs";#N/A,#N/A,FALSE,"4 Panel"}</definedName>
    <definedName name="___________New32" hidden="1">{#N/A,#N/A,FALSE,"SMT1";#N/A,#N/A,FALSE,"SMT2";#N/A,#N/A,FALSE,"Summary";#N/A,#N/A,FALSE,"Graphs";#N/A,#N/A,FALSE,"4 Panel"}</definedName>
    <definedName name="___________New33" hidden="1">{#N/A,#N/A,FALSE,"Full";#N/A,#N/A,FALSE,"Half";#N/A,#N/A,FALSE,"Op Expenses";#N/A,#N/A,FALSE,"Cap Charge";#N/A,#N/A,FALSE,"Cost C";#N/A,#N/A,FALSE,"PP&amp;E";#N/A,#N/A,FALSE,"R&amp;D"}</definedName>
    <definedName name="___________New34" hidden="1">{"EVA",#N/A,FALSE,"SMT2";#N/A,#N/A,FALSE,"Summary";#N/A,#N/A,FALSE,"Graphs";#N/A,#N/A,FALSE,"4 Panel"}</definedName>
    <definedName name="___________New35" hidden="1">{#N/A,#N/A,FALSE,"SMT1";#N/A,#N/A,FALSE,"SMT2";#N/A,#N/A,FALSE,"Summary";#N/A,#N/A,FALSE,"Graphs";#N/A,#N/A,FALSE,"4 Panel"}</definedName>
    <definedName name="___________New36" hidden="1">{#N/A,#N/A,FALSE,"Full";#N/A,#N/A,FALSE,"Half";#N/A,#N/A,FALSE,"Op Expenses";#N/A,#N/A,FALSE,"Cap Charge";#N/A,#N/A,FALSE,"Cost C";#N/A,#N/A,FALSE,"PP&amp;E";#N/A,#N/A,FALSE,"R&amp;D"}</definedName>
    <definedName name="___________NEW4" hidden="1">{#N/A,#N/A,FALSE,"Full";#N/A,#N/A,FALSE,"Half";#N/A,#N/A,FALSE,"Op Expenses";#N/A,#N/A,FALSE,"Cap Charge";#N/A,#N/A,FALSE,"Cost C";#N/A,#N/A,FALSE,"PP&amp;E";#N/A,#N/A,FALSE,"R&amp;D"}</definedName>
    <definedName name="___________OCT2" localSheetId="1" hidden="1">{#N/A,#N/A,FALSE,"BL&amp;GPA";#N/A,#N/A,FALSE,"Summary";#N/A,#N/A,FALSE,"hts"}</definedName>
    <definedName name="___________OCT2" localSheetId="4" hidden="1">{#N/A,#N/A,FALSE,"BL&amp;GPA";#N/A,#N/A,FALSE,"Summary";#N/A,#N/A,FALSE,"hts"}</definedName>
    <definedName name="___________OCT2" localSheetId="0" hidden="1">{#N/A,#N/A,FALSE,"BL&amp;GPA";#N/A,#N/A,FALSE,"Summary";#N/A,#N/A,FALSE,"hts"}</definedName>
    <definedName name="___________OCT2" localSheetId="3" hidden="1">{#N/A,#N/A,FALSE,"BL&amp;GPA";#N/A,#N/A,FALSE,"Summary";#N/A,#N/A,FALSE,"hts"}</definedName>
    <definedName name="___________OCT2" localSheetId="2" hidden="1">{#N/A,#N/A,FALSE,"BL&amp;GPA";#N/A,#N/A,FALSE,"Summary";#N/A,#N/A,FALSE,"hts"}</definedName>
    <definedName name="___________OCT2" hidden="1">{#N/A,#N/A,FALSE,"BL&amp;GPA";#N/A,#N/A,FALSE,"Summary";#N/A,#N/A,FALSE,"hts"}</definedName>
    <definedName name="___________ok1" localSheetId="1" hidden="1">{#N/A,#N/A,FALSE,"balance";#N/A,#N/A,FALSE,"PYG"}</definedName>
    <definedName name="___________ok1" localSheetId="4" hidden="1">{#N/A,#N/A,FALSE,"balance";#N/A,#N/A,FALSE,"PYG"}</definedName>
    <definedName name="___________ok1" localSheetId="0" hidden="1">{#N/A,#N/A,FALSE,"balance";#N/A,#N/A,FALSE,"PYG"}</definedName>
    <definedName name="___________ok1" localSheetId="3" hidden="1">{#N/A,#N/A,FALSE,"balance";#N/A,#N/A,FALSE,"PYG"}</definedName>
    <definedName name="___________ok1" localSheetId="2" hidden="1">{#N/A,#N/A,FALSE,"balance";#N/A,#N/A,FALSE,"PYG"}</definedName>
    <definedName name="___________ok1" hidden="1">{#N/A,#N/A,FALSE,"balance";#N/A,#N/A,FALSE,"PYG"}</definedName>
    <definedName name="___________Ok2" localSheetId="1" hidden="1">{#N/A,#N/A,FALSE,"balance";#N/A,#N/A,FALSE,"PYG"}</definedName>
    <definedName name="___________Ok2" localSheetId="4" hidden="1">{#N/A,#N/A,FALSE,"balance";#N/A,#N/A,FALSE,"PYG"}</definedName>
    <definedName name="___________Ok2" localSheetId="0" hidden="1">{#N/A,#N/A,FALSE,"balance";#N/A,#N/A,FALSE,"PYG"}</definedName>
    <definedName name="___________Ok2" localSheetId="3" hidden="1">{#N/A,#N/A,FALSE,"balance";#N/A,#N/A,FALSE,"PYG"}</definedName>
    <definedName name="___________Ok2" localSheetId="2" hidden="1">{#N/A,#N/A,FALSE,"balance";#N/A,#N/A,FALSE,"PYG"}</definedName>
    <definedName name="___________Ok2" hidden="1">{#N/A,#N/A,FALSE,"balance";#N/A,#N/A,FALSE,"PYG"}</definedName>
    <definedName name="___________PyG2" localSheetId="1" hidden="1">{#N/A,#N/A,FALSE,"balance";#N/A,#N/A,FALSE,"PYG"}</definedName>
    <definedName name="___________PyG2" localSheetId="4" hidden="1">{#N/A,#N/A,FALSE,"balance";#N/A,#N/A,FALSE,"PYG"}</definedName>
    <definedName name="___________PyG2" localSheetId="0" hidden="1">{#N/A,#N/A,FALSE,"balance";#N/A,#N/A,FALSE,"PYG"}</definedName>
    <definedName name="___________PyG2" localSheetId="3" hidden="1">{#N/A,#N/A,FALSE,"balance";#N/A,#N/A,FALSE,"PYG"}</definedName>
    <definedName name="___________PyG2" localSheetId="2" hidden="1">{#N/A,#N/A,FALSE,"balance";#N/A,#N/A,FALSE,"PYG"}</definedName>
    <definedName name="___________PyG2" hidden="1">{#N/A,#N/A,FALSE,"balance";#N/A,#N/A,FALSE,"PYG"}</definedName>
    <definedName name="___________PYG3" localSheetId="1" hidden="1">{#N/A,#N/A,FALSE,"balance";#N/A,#N/A,FALSE,"PYG"}</definedName>
    <definedName name="___________PYG3" localSheetId="4" hidden="1">{#N/A,#N/A,FALSE,"balance";#N/A,#N/A,FALSE,"PYG"}</definedName>
    <definedName name="___________PYG3" localSheetId="0" hidden="1">{#N/A,#N/A,FALSE,"balance";#N/A,#N/A,FALSE,"PYG"}</definedName>
    <definedName name="___________PYG3" localSheetId="3" hidden="1">{#N/A,#N/A,FALSE,"balance";#N/A,#N/A,FALSE,"PYG"}</definedName>
    <definedName name="___________PYG3" localSheetId="2" hidden="1">{#N/A,#N/A,FALSE,"balance";#N/A,#N/A,FALSE,"PYG"}</definedName>
    <definedName name="___________PYG3" hidden="1">{#N/A,#N/A,FALSE,"balance";#N/A,#N/A,FALSE,"PYG"}</definedName>
    <definedName name="___________PyG33" localSheetId="1" hidden="1">{#N/A,#N/A,FALSE,"balance";#N/A,#N/A,FALSE,"PYG"}</definedName>
    <definedName name="___________PyG33" localSheetId="4" hidden="1">{#N/A,#N/A,FALSE,"balance";#N/A,#N/A,FALSE,"PYG"}</definedName>
    <definedName name="___________PyG33" localSheetId="0" hidden="1">{#N/A,#N/A,FALSE,"balance";#N/A,#N/A,FALSE,"PYG"}</definedName>
    <definedName name="___________PyG33" localSheetId="3" hidden="1">{#N/A,#N/A,FALSE,"balance";#N/A,#N/A,FALSE,"PYG"}</definedName>
    <definedName name="___________PyG33" localSheetId="2" hidden="1">{#N/A,#N/A,FALSE,"balance";#N/A,#N/A,FALSE,"PYG"}</definedName>
    <definedName name="___________PyG33" hidden="1">{#N/A,#N/A,FALSE,"balance";#N/A,#N/A,FALSE,"PYG"}</definedName>
    <definedName name="___________R" hidden="1">{#N/A,#N/A,FALSE,"GRAFICO";#N/A,#N/A,FALSE,"CAJA (2)";#N/A,#N/A,FALSE,"TERCEROS-PROMEDIO";#N/A,#N/A,FALSE,"CAJA";#N/A,#N/A,FALSE,"INGRESOS1995-2003";#N/A,#N/A,FALSE,"GASTOS1995-2003"}</definedName>
    <definedName name="__________GGF2" localSheetId="1" hidden="1">{#N/A,#N/A,FALSE,"balance";#N/A,#N/A,FALSE,"PYG"}</definedName>
    <definedName name="__________GGF2" localSheetId="4" hidden="1">{#N/A,#N/A,FALSE,"balance";#N/A,#N/A,FALSE,"PYG"}</definedName>
    <definedName name="__________GGF2" localSheetId="0" hidden="1">{#N/A,#N/A,FALSE,"balance";#N/A,#N/A,FALSE,"PYG"}</definedName>
    <definedName name="__________GGF2" localSheetId="3" hidden="1">{#N/A,#N/A,FALSE,"balance";#N/A,#N/A,FALSE,"PYG"}</definedName>
    <definedName name="__________GGF2" localSheetId="2" hidden="1">{#N/A,#N/A,FALSE,"balance";#N/A,#N/A,FALSE,"PYG"}</definedName>
    <definedName name="__________GGF2" hidden="1">{#N/A,#N/A,FALSE,"balance";#N/A,#N/A,FALSE,"PYG"}</definedName>
    <definedName name="__________new1" hidden="1">{#N/A,#N/A,FALSE,"SMT1";#N/A,#N/A,FALSE,"SMT2";#N/A,#N/A,FALSE,"Summary";#N/A,#N/A,FALSE,"Graphs";#N/A,#N/A,FALSE,"4 Panel"}</definedName>
    <definedName name="__________New15" hidden="1">{"EVA",#N/A,FALSE,"SMT2";#N/A,#N/A,FALSE,"Summary";#N/A,#N/A,FALSE,"Graphs";#N/A,#N/A,FALSE,"4 Panel"}</definedName>
    <definedName name="__________New16" hidden="1">{#N/A,#N/A,FALSE,"SMT1";#N/A,#N/A,FALSE,"SMT2";#N/A,#N/A,FALSE,"Summary";#N/A,#N/A,FALSE,"Graphs";#N/A,#N/A,FALSE,"4 Panel"}</definedName>
    <definedName name="__________New17" hidden="1">{#N/A,#N/A,FALSE,"SMT1";#N/A,#N/A,FALSE,"SMT2";#N/A,#N/A,FALSE,"Summary";#N/A,#N/A,FALSE,"Graphs";#N/A,#N/A,FALSE,"4 Panel"}</definedName>
    <definedName name="__________New18" hidden="1">{#N/A,#N/A,FALSE,"Full";#N/A,#N/A,FALSE,"Half";#N/A,#N/A,FALSE,"Op Expenses";#N/A,#N/A,FALSE,"Cap Charge";#N/A,#N/A,FALSE,"Cost C";#N/A,#N/A,FALSE,"PP&amp;E";#N/A,#N/A,FALSE,"R&amp;D"}</definedName>
    <definedName name="__________New19" hidden="1">{"EVA",#N/A,FALSE,"SMT2";#N/A,#N/A,FALSE,"Summary";#N/A,#N/A,FALSE,"Graphs";#N/A,#N/A,FALSE,"4 Panel"}</definedName>
    <definedName name="__________New20" hidden="1">{#N/A,#N/A,FALSE,"SMT1";#N/A,#N/A,FALSE,"SMT2";#N/A,#N/A,FALSE,"Summary";#N/A,#N/A,FALSE,"Graphs";#N/A,#N/A,FALSE,"4 Panel"}</definedName>
    <definedName name="__________New21" hidden="1">{#N/A,#N/A,FALSE,"Full";#N/A,#N/A,FALSE,"Half";#N/A,#N/A,FALSE,"Op Expenses";#N/A,#N/A,FALSE,"Cap Charge";#N/A,#N/A,FALSE,"Cost C";#N/A,#N/A,FALSE,"PP&amp;E";#N/A,#N/A,FALSE,"R&amp;D"}</definedName>
    <definedName name="__________NEW3" hidden="1">{#N/A,#N/A,FALSE,"SMT1";#N/A,#N/A,FALSE,"SMT2";#N/A,#N/A,FALSE,"Summary";#N/A,#N/A,FALSE,"Graphs";#N/A,#N/A,FALSE,"4 Panel"}</definedName>
    <definedName name="__________nEW30" hidden="1">{"EVA",#N/A,FALSE,"SMT2";#N/A,#N/A,FALSE,"Summary";#N/A,#N/A,FALSE,"Graphs";#N/A,#N/A,FALSE,"4 Panel"}</definedName>
    <definedName name="__________New31" hidden="1">{#N/A,#N/A,FALSE,"SMT1";#N/A,#N/A,FALSE,"SMT2";#N/A,#N/A,FALSE,"Summary";#N/A,#N/A,FALSE,"Graphs";#N/A,#N/A,FALSE,"4 Panel"}</definedName>
    <definedName name="__________New32" hidden="1">{#N/A,#N/A,FALSE,"SMT1";#N/A,#N/A,FALSE,"SMT2";#N/A,#N/A,FALSE,"Summary";#N/A,#N/A,FALSE,"Graphs";#N/A,#N/A,FALSE,"4 Panel"}</definedName>
    <definedName name="__________New33" hidden="1">{#N/A,#N/A,FALSE,"Full";#N/A,#N/A,FALSE,"Half";#N/A,#N/A,FALSE,"Op Expenses";#N/A,#N/A,FALSE,"Cap Charge";#N/A,#N/A,FALSE,"Cost C";#N/A,#N/A,FALSE,"PP&amp;E";#N/A,#N/A,FALSE,"R&amp;D"}</definedName>
    <definedName name="__________New34" hidden="1">{"EVA",#N/A,FALSE,"SMT2";#N/A,#N/A,FALSE,"Summary";#N/A,#N/A,FALSE,"Graphs";#N/A,#N/A,FALSE,"4 Panel"}</definedName>
    <definedName name="__________New35" hidden="1">{#N/A,#N/A,FALSE,"SMT1";#N/A,#N/A,FALSE,"SMT2";#N/A,#N/A,FALSE,"Summary";#N/A,#N/A,FALSE,"Graphs";#N/A,#N/A,FALSE,"4 Panel"}</definedName>
    <definedName name="__________New36" hidden="1">{#N/A,#N/A,FALSE,"Full";#N/A,#N/A,FALSE,"Half";#N/A,#N/A,FALSE,"Op Expenses";#N/A,#N/A,FALSE,"Cap Charge";#N/A,#N/A,FALSE,"Cost C";#N/A,#N/A,FALSE,"PP&amp;E";#N/A,#N/A,FALSE,"R&amp;D"}</definedName>
    <definedName name="__________NEW4" hidden="1">{#N/A,#N/A,FALSE,"Full";#N/A,#N/A,FALSE,"Half";#N/A,#N/A,FALSE,"Op Expenses";#N/A,#N/A,FALSE,"Cap Charge";#N/A,#N/A,FALSE,"Cost C";#N/A,#N/A,FALSE,"PP&amp;E";#N/A,#N/A,FALSE,"R&amp;D"}</definedName>
    <definedName name="__________OCT2" localSheetId="1" hidden="1">{#N/A,#N/A,FALSE,"BL&amp;GPA";#N/A,#N/A,FALSE,"Summary";#N/A,#N/A,FALSE,"hts"}</definedName>
    <definedName name="__________OCT2" localSheetId="4" hidden="1">{#N/A,#N/A,FALSE,"BL&amp;GPA";#N/A,#N/A,FALSE,"Summary";#N/A,#N/A,FALSE,"hts"}</definedName>
    <definedName name="__________OCT2" localSheetId="0" hidden="1">{#N/A,#N/A,FALSE,"BL&amp;GPA";#N/A,#N/A,FALSE,"Summary";#N/A,#N/A,FALSE,"hts"}</definedName>
    <definedName name="__________OCT2" localSheetId="3" hidden="1">{#N/A,#N/A,FALSE,"BL&amp;GPA";#N/A,#N/A,FALSE,"Summary";#N/A,#N/A,FALSE,"hts"}</definedName>
    <definedName name="__________OCT2" localSheetId="2" hidden="1">{#N/A,#N/A,FALSE,"BL&amp;GPA";#N/A,#N/A,FALSE,"Summary";#N/A,#N/A,FALSE,"hts"}</definedName>
    <definedName name="__________OCT2" hidden="1">{#N/A,#N/A,FALSE,"BL&amp;GPA";#N/A,#N/A,FALSE,"Summary";#N/A,#N/A,FALSE,"hts"}</definedName>
    <definedName name="__________ok1" localSheetId="1" hidden="1">{#N/A,#N/A,FALSE,"balance";#N/A,#N/A,FALSE,"PYG"}</definedName>
    <definedName name="__________ok1" localSheetId="4" hidden="1">{#N/A,#N/A,FALSE,"balance";#N/A,#N/A,FALSE,"PYG"}</definedName>
    <definedName name="__________ok1" localSheetId="0" hidden="1">{#N/A,#N/A,FALSE,"balance";#N/A,#N/A,FALSE,"PYG"}</definedName>
    <definedName name="__________ok1" localSheetId="3" hidden="1">{#N/A,#N/A,FALSE,"balance";#N/A,#N/A,FALSE,"PYG"}</definedName>
    <definedName name="__________ok1" localSheetId="2" hidden="1">{#N/A,#N/A,FALSE,"balance";#N/A,#N/A,FALSE,"PYG"}</definedName>
    <definedName name="__________ok1" hidden="1">{#N/A,#N/A,FALSE,"balance";#N/A,#N/A,FALSE,"PYG"}</definedName>
    <definedName name="__________Ok2" localSheetId="1" hidden="1">{#N/A,#N/A,FALSE,"balance";#N/A,#N/A,FALSE,"PYG"}</definedName>
    <definedName name="__________Ok2" localSheetId="4" hidden="1">{#N/A,#N/A,FALSE,"balance";#N/A,#N/A,FALSE,"PYG"}</definedName>
    <definedName name="__________Ok2" localSheetId="0" hidden="1">{#N/A,#N/A,FALSE,"balance";#N/A,#N/A,FALSE,"PYG"}</definedName>
    <definedName name="__________Ok2" localSheetId="3" hidden="1">{#N/A,#N/A,FALSE,"balance";#N/A,#N/A,FALSE,"PYG"}</definedName>
    <definedName name="__________Ok2" localSheetId="2" hidden="1">{#N/A,#N/A,FALSE,"balance";#N/A,#N/A,FALSE,"PYG"}</definedName>
    <definedName name="__________Ok2" hidden="1">{#N/A,#N/A,FALSE,"balance";#N/A,#N/A,FALSE,"PYG"}</definedName>
    <definedName name="__________PyG2" localSheetId="1" hidden="1">{#N/A,#N/A,FALSE,"balance";#N/A,#N/A,FALSE,"PYG"}</definedName>
    <definedName name="__________PyG2" localSheetId="4" hidden="1">{#N/A,#N/A,FALSE,"balance";#N/A,#N/A,FALSE,"PYG"}</definedName>
    <definedName name="__________PyG2" localSheetId="0" hidden="1">{#N/A,#N/A,FALSE,"balance";#N/A,#N/A,FALSE,"PYG"}</definedName>
    <definedName name="__________PyG2" localSheetId="3" hidden="1">{#N/A,#N/A,FALSE,"balance";#N/A,#N/A,FALSE,"PYG"}</definedName>
    <definedName name="__________PyG2" localSheetId="2" hidden="1">{#N/A,#N/A,FALSE,"balance";#N/A,#N/A,FALSE,"PYG"}</definedName>
    <definedName name="__________PyG2" hidden="1">{#N/A,#N/A,FALSE,"balance";#N/A,#N/A,FALSE,"PYG"}</definedName>
    <definedName name="__________PYG3" localSheetId="1" hidden="1">{#N/A,#N/A,FALSE,"balance";#N/A,#N/A,FALSE,"PYG"}</definedName>
    <definedName name="__________PYG3" localSheetId="4" hidden="1">{#N/A,#N/A,FALSE,"balance";#N/A,#N/A,FALSE,"PYG"}</definedName>
    <definedName name="__________PYG3" localSheetId="0" hidden="1">{#N/A,#N/A,FALSE,"balance";#N/A,#N/A,FALSE,"PYG"}</definedName>
    <definedName name="__________PYG3" localSheetId="3" hidden="1">{#N/A,#N/A,FALSE,"balance";#N/A,#N/A,FALSE,"PYG"}</definedName>
    <definedName name="__________PYG3" localSheetId="2" hidden="1">{#N/A,#N/A,FALSE,"balance";#N/A,#N/A,FALSE,"PYG"}</definedName>
    <definedName name="__________PYG3" hidden="1">{#N/A,#N/A,FALSE,"balance";#N/A,#N/A,FALSE,"PYG"}</definedName>
    <definedName name="__________PyG33" localSheetId="1" hidden="1">{#N/A,#N/A,FALSE,"balance";#N/A,#N/A,FALSE,"PYG"}</definedName>
    <definedName name="__________PyG33" localSheetId="4" hidden="1">{#N/A,#N/A,FALSE,"balance";#N/A,#N/A,FALSE,"PYG"}</definedName>
    <definedName name="__________PyG33" localSheetId="0" hidden="1">{#N/A,#N/A,FALSE,"balance";#N/A,#N/A,FALSE,"PYG"}</definedName>
    <definedName name="__________PyG33" localSheetId="3" hidden="1">{#N/A,#N/A,FALSE,"balance";#N/A,#N/A,FALSE,"PYG"}</definedName>
    <definedName name="__________PyG33" localSheetId="2" hidden="1">{#N/A,#N/A,FALSE,"balance";#N/A,#N/A,FALSE,"PYG"}</definedName>
    <definedName name="__________PyG33" hidden="1">{#N/A,#N/A,FALSE,"balance";#N/A,#N/A,FALSE,"PYG"}</definedName>
    <definedName name="__________R" hidden="1">{#N/A,#N/A,FALSE,"GRAFICO";#N/A,#N/A,FALSE,"CAJA (2)";#N/A,#N/A,FALSE,"TERCEROS-PROMEDIO";#N/A,#N/A,FALSE,"CAJA";#N/A,#N/A,FALSE,"INGRESOS1995-2003";#N/A,#N/A,FALSE,"GASTOS1995-2003"}</definedName>
    <definedName name="_________GGF2" localSheetId="1" hidden="1">{#N/A,#N/A,FALSE,"balance";#N/A,#N/A,FALSE,"PYG"}</definedName>
    <definedName name="_________GGF2" localSheetId="4" hidden="1">{#N/A,#N/A,FALSE,"balance";#N/A,#N/A,FALSE,"PYG"}</definedName>
    <definedName name="_________GGF2" localSheetId="0" hidden="1">{#N/A,#N/A,FALSE,"balance";#N/A,#N/A,FALSE,"PYG"}</definedName>
    <definedName name="_________GGF2" localSheetId="3" hidden="1">{#N/A,#N/A,FALSE,"balance";#N/A,#N/A,FALSE,"PYG"}</definedName>
    <definedName name="_________GGF2" localSheetId="2" hidden="1">{#N/A,#N/A,FALSE,"balance";#N/A,#N/A,FALSE,"PYG"}</definedName>
    <definedName name="_________GGF2" hidden="1">{#N/A,#N/A,FALSE,"balance";#N/A,#N/A,FALSE,"PYG"}</definedName>
    <definedName name="_________new1" hidden="1">{#N/A,#N/A,FALSE,"SMT1";#N/A,#N/A,FALSE,"SMT2";#N/A,#N/A,FALSE,"Summary";#N/A,#N/A,FALSE,"Graphs";#N/A,#N/A,FALSE,"4 Panel"}</definedName>
    <definedName name="_________New15" hidden="1">{"EVA",#N/A,FALSE,"SMT2";#N/A,#N/A,FALSE,"Summary";#N/A,#N/A,FALSE,"Graphs";#N/A,#N/A,FALSE,"4 Panel"}</definedName>
    <definedName name="_________New16" hidden="1">{#N/A,#N/A,FALSE,"SMT1";#N/A,#N/A,FALSE,"SMT2";#N/A,#N/A,FALSE,"Summary";#N/A,#N/A,FALSE,"Graphs";#N/A,#N/A,FALSE,"4 Panel"}</definedName>
    <definedName name="_________New17" hidden="1">{#N/A,#N/A,FALSE,"SMT1";#N/A,#N/A,FALSE,"SMT2";#N/A,#N/A,FALSE,"Summary";#N/A,#N/A,FALSE,"Graphs";#N/A,#N/A,FALSE,"4 Panel"}</definedName>
    <definedName name="_________New18" hidden="1">{#N/A,#N/A,FALSE,"Full";#N/A,#N/A,FALSE,"Half";#N/A,#N/A,FALSE,"Op Expenses";#N/A,#N/A,FALSE,"Cap Charge";#N/A,#N/A,FALSE,"Cost C";#N/A,#N/A,FALSE,"PP&amp;E";#N/A,#N/A,FALSE,"R&amp;D"}</definedName>
    <definedName name="_________New19" hidden="1">{"EVA",#N/A,FALSE,"SMT2";#N/A,#N/A,FALSE,"Summary";#N/A,#N/A,FALSE,"Graphs";#N/A,#N/A,FALSE,"4 Panel"}</definedName>
    <definedName name="_________New20" hidden="1">{#N/A,#N/A,FALSE,"SMT1";#N/A,#N/A,FALSE,"SMT2";#N/A,#N/A,FALSE,"Summary";#N/A,#N/A,FALSE,"Graphs";#N/A,#N/A,FALSE,"4 Panel"}</definedName>
    <definedName name="_________New21" hidden="1">{#N/A,#N/A,FALSE,"Full";#N/A,#N/A,FALSE,"Half";#N/A,#N/A,FALSE,"Op Expenses";#N/A,#N/A,FALSE,"Cap Charge";#N/A,#N/A,FALSE,"Cost C";#N/A,#N/A,FALSE,"PP&amp;E";#N/A,#N/A,FALSE,"R&amp;D"}</definedName>
    <definedName name="_________NEW3" hidden="1">{#N/A,#N/A,FALSE,"SMT1";#N/A,#N/A,FALSE,"SMT2";#N/A,#N/A,FALSE,"Summary";#N/A,#N/A,FALSE,"Graphs";#N/A,#N/A,FALSE,"4 Panel"}</definedName>
    <definedName name="_________nEW30" hidden="1">{"EVA",#N/A,FALSE,"SMT2";#N/A,#N/A,FALSE,"Summary";#N/A,#N/A,FALSE,"Graphs";#N/A,#N/A,FALSE,"4 Panel"}</definedName>
    <definedName name="_________New31" hidden="1">{#N/A,#N/A,FALSE,"SMT1";#N/A,#N/A,FALSE,"SMT2";#N/A,#N/A,FALSE,"Summary";#N/A,#N/A,FALSE,"Graphs";#N/A,#N/A,FALSE,"4 Panel"}</definedName>
    <definedName name="_________New32" hidden="1">{#N/A,#N/A,FALSE,"SMT1";#N/A,#N/A,FALSE,"SMT2";#N/A,#N/A,FALSE,"Summary";#N/A,#N/A,FALSE,"Graphs";#N/A,#N/A,FALSE,"4 Panel"}</definedName>
    <definedName name="_________New33" hidden="1">{#N/A,#N/A,FALSE,"Full";#N/A,#N/A,FALSE,"Half";#N/A,#N/A,FALSE,"Op Expenses";#N/A,#N/A,FALSE,"Cap Charge";#N/A,#N/A,FALSE,"Cost C";#N/A,#N/A,FALSE,"PP&amp;E";#N/A,#N/A,FALSE,"R&amp;D"}</definedName>
    <definedName name="_________New34" hidden="1">{"EVA",#N/A,FALSE,"SMT2";#N/A,#N/A,FALSE,"Summary";#N/A,#N/A,FALSE,"Graphs";#N/A,#N/A,FALSE,"4 Panel"}</definedName>
    <definedName name="_________New35" hidden="1">{#N/A,#N/A,FALSE,"SMT1";#N/A,#N/A,FALSE,"SMT2";#N/A,#N/A,FALSE,"Summary";#N/A,#N/A,FALSE,"Graphs";#N/A,#N/A,FALSE,"4 Panel"}</definedName>
    <definedName name="_________New36" hidden="1">{#N/A,#N/A,FALSE,"Full";#N/A,#N/A,FALSE,"Half";#N/A,#N/A,FALSE,"Op Expenses";#N/A,#N/A,FALSE,"Cap Charge";#N/A,#N/A,FALSE,"Cost C";#N/A,#N/A,FALSE,"PP&amp;E";#N/A,#N/A,FALSE,"R&amp;D"}</definedName>
    <definedName name="_________NEW4" hidden="1">{#N/A,#N/A,FALSE,"Full";#N/A,#N/A,FALSE,"Half";#N/A,#N/A,FALSE,"Op Expenses";#N/A,#N/A,FALSE,"Cap Charge";#N/A,#N/A,FALSE,"Cost C";#N/A,#N/A,FALSE,"PP&amp;E";#N/A,#N/A,FALSE,"R&amp;D"}</definedName>
    <definedName name="_________OCT2" localSheetId="1" hidden="1">{#N/A,#N/A,FALSE,"BL&amp;GPA";#N/A,#N/A,FALSE,"Summary";#N/A,#N/A,FALSE,"hts"}</definedName>
    <definedName name="_________OCT2" localSheetId="4" hidden="1">{#N/A,#N/A,FALSE,"BL&amp;GPA";#N/A,#N/A,FALSE,"Summary";#N/A,#N/A,FALSE,"hts"}</definedName>
    <definedName name="_________OCT2" localSheetId="0" hidden="1">{#N/A,#N/A,FALSE,"BL&amp;GPA";#N/A,#N/A,FALSE,"Summary";#N/A,#N/A,FALSE,"hts"}</definedName>
    <definedName name="_________OCT2" localSheetId="3" hidden="1">{#N/A,#N/A,FALSE,"BL&amp;GPA";#N/A,#N/A,FALSE,"Summary";#N/A,#N/A,FALSE,"hts"}</definedName>
    <definedName name="_________OCT2" localSheetId="2" hidden="1">{#N/A,#N/A,FALSE,"BL&amp;GPA";#N/A,#N/A,FALSE,"Summary";#N/A,#N/A,FALSE,"hts"}</definedName>
    <definedName name="_________OCT2" hidden="1">{#N/A,#N/A,FALSE,"BL&amp;GPA";#N/A,#N/A,FALSE,"Summary";#N/A,#N/A,FALSE,"hts"}</definedName>
    <definedName name="_________ok1" localSheetId="1" hidden="1">{#N/A,#N/A,FALSE,"balance";#N/A,#N/A,FALSE,"PYG"}</definedName>
    <definedName name="_________ok1" localSheetId="4" hidden="1">{#N/A,#N/A,FALSE,"balance";#N/A,#N/A,FALSE,"PYG"}</definedName>
    <definedName name="_________ok1" localSheetId="0" hidden="1">{#N/A,#N/A,FALSE,"balance";#N/A,#N/A,FALSE,"PYG"}</definedName>
    <definedName name="_________ok1" localSheetId="3" hidden="1">{#N/A,#N/A,FALSE,"balance";#N/A,#N/A,FALSE,"PYG"}</definedName>
    <definedName name="_________ok1" localSheetId="2" hidden="1">{#N/A,#N/A,FALSE,"balance";#N/A,#N/A,FALSE,"PYG"}</definedName>
    <definedName name="_________ok1" hidden="1">{#N/A,#N/A,FALSE,"balance";#N/A,#N/A,FALSE,"PYG"}</definedName>
    <definedName name="_________Ok2" localSheetId="1" hidden="1">{#N/A,#N/A,FALSE,"balance";#N/A,#N/A,FALSE,"PYG"}</definedName>
    <definedName name="_________Ok2" localSheetId="4" hidden="1">{#N/A,#N/A,FALSE,"balance";#N/A,#N/A,FALSE,"PYG"}</definedName>
    <definedName name="_________Ok2" localSheetId="0" hidden="1">{#N/A,#N/A,FALSE,"balance";#N/A,#N/A,FALSE,"PYG"}</definedName>
    <definedName name="_________Ok2" localSheetId="3" hidden="1">{#N/A,#N/A,FALSE,"balance";#N/A,#N/A,FALSE,"PYG"}</definedName>
    <definedName name="_________Ok2" localSheetId="2" hidden="1">{#N/A,#N/A,FALSE,"balance";#N/A,#N/A,FALSE,"PYG"}</definedName>
    <definedName name="_________Ok2" hidden="1">{#N/A,#N/A,FALSE,"balance";#N/A,#N/A,FALSE,"PYG"}</definedName>
    <definedName name="_________PyG2" localSheetId="1" hidden="1">{#N/A,#N/A,FALSE,"balance";#N/A,#N/A,FALSE,"PYG"}</definedName>
    <definedName name="_________PyG2" localSheetId="4" hidden="1">{#N/A,#N/A,FALSE,"balance";#N/A,#N/A,FALSE,"PYG"}</definedName>
    <definedName name="_________PyG2" localSheetId="0" hidden="1">{#N/A,#N/A,FALSE,"balance";#N/A,#N/A,FALSE,"PYG"}</definedName>
    <definedName name="_________PyG2" localSheetId="3" hidden="1">{#N/A,#N/A,FALSE,"balance";#N/A,#N/A,FALSE,"PYG"}</definedName>
    <definedName name="_________PyG2" localSheetId="2" hidden="1">{#N/A,#N/A,FALSE,"balance";#N/A,#N/A,FALSE,"PYG"}</definedName>
    <definedName name="_________PyG2" hidden="1">{#N/A,#N/A,FALSE,"balance";#N/A,#N/A,FALSE,"PYG"}</definedName>
    <definedName name="_________PYG3" localSheetId="1" hidden="1">{#N/A,#N/A,FALSE,"balance";#N/A,#N/A,FALSE,"PYG"}</definedName>
    <definedName name="_________PYG3" localSheetId="4" hidden="1">{#N/A,#N/A,FALSE,"balance";#N/A,#N/A,FALSE,"PYG"}</definedName>
    <definedName name="_________PYG3" localSheetId="0" hidden="1">{#N/A,#N/A,FALSE,"balance";#N/A,#N/A,FALSE,"PYG"}</definedName>
    <definedName name="_________PYG3" localSheetId="3" hidden="1">{#N/A,#N/A,FALSE,"balance";#N/A,#N/A,FALSE,"PYG"}</definedName>
    <definedName name="_________PYG3" localSheetId="2" hidden="1">{#N/A,#N/A,FALSE,"balance";#N/A,#N/A,FALSE,"PYG"}</definedName>
    <definedName name="_________PYG3" hidden="1">{#N/A,#N/A,FALSE,"balance";#N/A,#N/A,FALSE,"PYG"}</definedName>
    <definedName name="_________PyG33" localSheetId="1" hidden="1">{#N/A,#N/A,FALSE,"balance";#N/A,#N/A,FALSE,"PYG"}</definedName>
    <definedName name="_________PyG33" localSheetId="4" hidden="1">{#N/A,#N/A,FALSE,"balance";#N/A,#N/A,FALSE,"PYG"}</definedName>
    <definedName name="_________PyG33" localSheetId="0" hidden="1">{#N/A,#N/A,FALSE,"balance";#N/A,#N/A,FALSE,"PYG"}</definedName>
    <definedName name="_________PyG33" localSheetId="3" hidden="1">{#N/A,#N/A,FALSE,"balance";#N/A,#N/A,FALSE,"PYG"}</definedName>
    <definedName name="_________PyG33" localSheetId="2" hidden="1">{#N/A,#N/A,FALSE,"balance";#N/A,#N/A,FALSE,"PYG"}</definedName>
    <definedName name="_________PyG33" hidden="1">{#N/A,#N/A,FALSE,"balance";#N/A,#N/A,FALSE,"PYG"}</definedName>
    <definedName name="_________R" hidden="1">{#N/A,#N/A,FALSE,"GRAFICO";#N/A,#N/A,FALSE,"CAJA (2)";#N/A,#N/A,FALSE,"TERCEROS-PROMEDIO";#N/A,#N/A,FALSE,"CAJA";#N/A,#N/A,FALSE,"INGRESOS1995-2003";#N/A,#N/A,FALSE,"GASTOS1995-2003"}</definedName>
    <definedName name="________GGF2" localSheetId="1" hidden="1">{#N/A,#N/A,FALSE,"balance";#N/A,#N/A,FALSE,"PYG"}</definedName>
    <definedName name="________GGF2" localSheetId="4" hidden="1">{#N/A,#N/A,FALSE,"balance";#N/A,#N/A,FALSE,"PYG"}</definedName>
    <definedName name="________GGF2" localSheetId="0" hidden="1">{#N/A,#N/A,FALSE,"balance";#N/A,#N/A,FALSE,"PYG"}</definedName>
    <definedName name="________GGF2" localSheetId="3" hidden="1">{#N/A,#N/A,FALSE,"balance";#N/A,#N/A,FALSE,"PYG"}</definedName>
    <definedName name="________GGF2" localSheetId="2" hidden="1">{#N/A,#N/A,FALSE,"balance";#N/A,#N/A,FALSE,"PYG"}</definedName>
    <definedName name="________GGF2" hidden="1">{#N/A,#N/A,FALSE,"balance";#N/A,#N/A,FALSE,"PYG"}</definedName>
    <definedName name="________new1" hidden="1">{#N/A,#N/A,FALSE,"SMT1";#N/A,#N/A,FALSE,"SMT2";#N/A,#N/A,FALSE,"Summary";#N/A,#N/A,FALSE,"Graphs";#N/A,#N/A,FALSE,"4 Panel"}</definedName>
    <definedName name="________New15" hidden="1">{"EVA",#N/A,FALSE,"SMT2";#N/A,#N/A,FALSE,"Summary";#N/A,#N/A,FALSE,"Graphs";#N/A,#N/A,FALSE,"4 Panel"}</definedName>
    <definedName name="________New16" hidden="1">{#N/A,#N/A,FALSE,"SMT1";#N/A,#N/A,FALSE,"SMT2";#N/A,#N/A,FALSE,"Summary";#N/A,#N/A,FALSE,"Graphs";#N/A,#N/A,FALSE,"4 Panel"}</definedName>
    <definedName name="________New17" hidden="1">{#N/A,#N/A,FALSE,"SMT1";#N/A,#N/A,FALSE,"SMT2";#N/A,#N/A,FALSE,"Summary";#N/A,#N/A,FALSE,"Graphs";#N/A,#N/A,FALSE,"4 Panel"}</definedName>
    <definedName name="________New18" hidden="1">{#N/A,#N/A,FALSE,"Full";#N/A,#N/A,FALSE,"Half";#N/A,#N/A,FALSE,"Op Expenses";#N/A,#N/A,FALSE,"Cap Charge";#N/A,#N/A,FALSE,"Cost C";#N/A,#N/A,FALSE,"PP&amp;E";#N/A,#N/A,FALSE,"R&amp;D"}</definedName>
    <definedName name="________New19" hidden="1">{"EVA",#N/A,FALSE,"SMT2";#N/A,#N/A,FALSE,"Summary";#N/A,#N/A,FALSE,"Graphs";#N/A,#N/A,FALSE,"4 Panel"}</definedName>
    <definedName name="________New20" hidden="1">{#N/A,#N/A,FALSE,"SMT1";#N/A,#N/A,FALSE,"SMT2";#N/A,#N/A,FALSE,"Summary";#N/A,#N/A,FALSE,"Graphs";#N/A,#N/A,FALSE,"4 Panel"}</definedName>
    <definedName name="________New21" hidden="1">{#N/A,#N/A,FALSE,"Full";#N/A,#N/A,FALSE,"Half";#N/A,#N/A,FALSE,"Op Expenses";#N/A,#N/A,FALSE,"Cap Charge";#N/A,#N/A,FALSE,"Cost C";#N/A,#N/A,FALSE,"PP&amp;E";#N/A,#N/A,FALSE,"R&amp;D"}</definedName>
    <definedName name="________NEW3" hidden="1">{#N/A,#N/A,FALSE,"SMT1";#N/A,#N/A,FALSE,"SMT2";#N/A,#N/A,FALSE,"Summary";#N/A,#N/A,FALSE,"Graphs";#N/A,#N/A,FALSE,"4 Panel"}</definedName>
    <definedName name="________nEW30" hidden="1">{"EVA",#N/A,FALSE,"SMT2";#N/A,#N/A,FALSE,"Summary";#N/A,#N/A,FALSE,"Graphs";#N/A,#N/A,FALSE,"4 Panel"}</definedName>
    <definedName name="________New31" hidden="1">{#N/A,#N/A,FALSE,"SMT1";#N/A,#N/A,FALSE,"SMT2";#N/A,#N/A,FALSE,"Summary";#N/A,#N/A,FALSE,"Graphs";#N/A,#N/A,FALSE,"4 Panel"}</definedName>
    <definedName name="________New32" hidden="1">{#N/A,#N/A,FALSE,"SMT1";#N/A,#N/A,FALSE,"SMT2";#N/A,#N/A,FALSE,"Summary";#N/A,#N/A,FALSE,"Graphs";#N/A,#N/A,FALSE,"4 Panel"}</definedName>
    <definedName name="________New33" hidden="1">{#N/A,#N/A,FALSE,"Full";#N/A,#N/A,FALSE,"Half";#N/A,#N/A,FALSE,"Op Expenses";#N/A,#N/A,FALSE,"Cap Charge";#N/A,#N/A,FALSE,"Cost C";#N/A,#N/A,FALSE,"PP&amp;E";#N/A,#N/A,FALSE,"R&amp;D"}</definedName>
    <definedName name="________New34" hidden="1">{"EVA",#N/A,FALSE,"SMT2";#N/A,#N/A,FALSE,"Summary";#N/A,#N/A,FALSE,"Graphs";#N/A,#N/A,FALSE,"4 Panel"}</definedName>
    <definedName name="________New35" hidden="1">{#N/A,#N/A,FALSE,"SMT1";#N/A,#N/A,FALSE,"SMT2";#N/A,#N/A,FALSE,"Summary";#N/A,#N/A,FALSE,"Graphs";#N/A,#N/A,FALSE,"4 Panel"}</definedName>
    <definedName name="________New36" hidden="1">{#N/A,#N/A,FALSE,"Full";#N/A,#N/A,FALSE,"Half";#N/A,#N/A,FALSE,"Op Expenses";#N/A,#N/A,FALSE,"Cap Charge";#N/A,#N/A,FALSE,"Cost C";#N/A,#N/A,FALSE,"PP&amp;E";#N/A,#N/A,FALSE,"R&amp;D"}</definedName>
    <definedName name="________NEW4" hidden="1">{#N/A,#N/A,FALSE,"Full";#N/A,#N/A,FALSE,"Half";#N/A,#N/A,FALSE,"Op Expenses";#N/A,#N/A,FALSE,"Cap Charge";#N/A,#N/A,FALSE,"Cost C";#N/A,#N/A,FALSE,"PP&amp;E";#N/A,#N/A,FALSE,"R&amp;D"}</definedName>
    <definedName name="________OCT2" localSheetId="1" hidden="1">{#N/A,#N/A,FALSE,"BL&amp;GPA";#N/A,#N/A,FALSE,"Summary";#N/A,#N/A,FALSE,"hts"}</definedName>
    <definedName name="________OCT2" localSheetId="4" hidden="1">{#N/A,#N/A,FALSE,"BL&amp;GPA";#N/A,#N/A,FALSE,"Summary";#N/A,#N/A,FALSE,"hts"}</definedName>
    <definedName name="________OCT2" localSheetId="0" hidden="1">{#N/A,#N/A,FALSE,"BL&amp;GPA";#N/A,#N/A,FALSE,"Summary";#N/A,#N/A,FALSE,"hts"}</definedName>
    <definedName name="________OCT2" localSheetId="3" hidden="1">{#N/A,#N/A,FALSE,"BL&amp;GPA";#N/A,#N/A,FALSE,"Summary";#N/A,#N/A,FALSE,"hts"}</definedName>
    <definedName name="________OCT2" localSheetId="2" hidden="1">{#N/A,#N/A,FALSE,"BL&amp;GPA";#N/A,#N/A,FALSE,"Summary";#N/A,#N/A,FALSE,"hts"}</definedName>
    <definedName name="________OCT2" hidden="1">{#N/A,#N/A,FALSE,"BL&amp;GPA";#N/A,#N/A,FALSE,"Summary";#N/A,#N/A,FALSE,"hts"}</definedName>
    <definedName name="________ok1" localSheetId="1" hidden="1">{#N/A,#N/A,FALSE,"balance";#N/A,#N/A,FALSE,"PYG"}</definedName>
    <definedName name="________ok1" localSheetId="4" hidden="1">{#N/A,#N/A,FALSE,"balance";#N/A,#N/A,FALSE,"PYG"}</definedName>
    <definedName name="________ok1" localSheetId="0" hidden="1">{#N/A,#N/A,FALSE,"balance";#N/A,#N/A,FALSE,"PYG"}</definedName>
    <definedName name="________ok1" localSheetId="3" hidden="1">{#N/A,#N/A,FALSE,"balance";#N/A,#N/A,FALSE,"PYG"}</definedName>
    <definedName name="________ok1" localSheetId="2" hidden="1">{#N/A,#N/A,FALSE,"balance";#N/A,#N/A,FALSE,"PYG"}</definedName>
    <definedName name="________ok1" hidden="1">{#N/A,#N/A,FALSE,"balance";#N/A,#N/A,FALSE,"PYG"}</definedName>
    <definedName name="________Ok2" localSheetId="1" hidden="1">{#N/A,#N/A,FALSE,"balance";#N/A,#N/A,FALSE,"PYG"}</definedName>
    <definedName name="________Ok2" localSheetId="4" hidden="1">{#N/A,#N/A,FALSE,"balance";#N/A,#N/A,FALSE,"PYG"}</definedName>
    <definedName name="________Ok2" localSheetId="0" hidden="1">{#N/A,#N/A,FALSE,"balance";#N/A,#N/A,FALSE,"PYG"}</definedName>
    <definedName name="________Ok2" localSheetId="3" hidden="1">{#N/A,#N/A,FALSE,"balance";#N/A,#N/A,FALSE,"PYG"}</definedName>
    <definedName name="________Ok2" localSheetId="2" hidden="1">{#N/A,#N/A,FALSE,"balance";#N/A,#N/A,FALSE,"PYG"}</definedName>
    <definedName name="________Ok2" hidden="1">{#N/A,#N/A,FALSE,"balance";#N/A,#N/A,FALSE,"PYG"}</definedName>
    <definedName name="________PyG2" localSheetId="1" hidden="1">{#N/A,#N/A,FALSE,"balance";#N/A,#N/A,FALSE,"PYG"}</definedName>
    <definedName name="________PyG2" localSheetId="4" hidden="1">{#N/A,#N/A,FALSE,"balance";#N/A,#N/A,FALSE,"PYG"}</definedName>
    <definedName name="________PyG2" localSheetId="0" hidden="1">{#N/A,#N/A,FALSE,"balance";#N/A,#N/A,FALSE,"PYG"}</definedName>
    <definedName name="________PyG2" localSheetId="3" hidden="1">{#N/A,#N/A,FALSE,"balance";#N/A,#N/A,FALSE,"PYG"}</definedName>
    <definedName name="________PyG2" localSheetId="2" hidden="1">{#N/A,#N/A,FALSE,"balance";#N/A,#N/A,FALSE,"PYG"}</definedName>
    <definedName name="________PyG2" hidden="1">{#N/A,#N/A,FALSE,"balance";#N/A,#N/A,FALSE,"PYG"}</definedName>
    <definedName name="________PYG3" localSheetId="1" hidden="1">{#N/A,#N/A,FALSE,"balance";#N/A,#N/A,FALSE,"PYG"}</definedName>
    <definedName name="________PYG3" localSheetId="4" hidden="1">{#N/A,#N/A,FALSE,"balance";#N/A,#N/A,FALSE,"PYG"}</definedName>
    <definedName name="________PYG3" localSheetId="0" hidden="1">{#N/A,#N/A,FALSE,"balance";#N/A,#N/A,FALSE,"PYG"}</definedName>
    <definedName name="________PYG3" localSheetId="3" hidden="1">{#N/A,#N/A,FALSE,"balance";#N/A,#N/A,FALSE,"PYG"}</definedName>
    <definedName name="________PYG3" localSheetId="2" hidden="1">{#N/A,#N/A,FALSE,"balance";#N/A,#N/A,FALSE,"PYG"}</definedName>
    <definedName name="________PYG3" hidden="1">{#N/A,#N/A,FALSE,"balance";#N/A,#N/A,FALSE,"PYG"}</definedName>
    <definedName name="________PyG33" localSheetId="1" hidden="1">{#N/A,#N/A,FALSE,"balance";#N/A,#N/A,FALSE,"PYG"}</definedName>
    <definedName name="________PyG33" localSheetId="4" hidden="1">{#N/A,#N/A,FALSE,"balance";#N/A,#N/A,FALSE,"PYG"}</definedName>
    <definedName name="________PyG33" localSheetId="0" hidden="1">{#N/A,#N/A,FALSE,"balance";#N/A,#N/A,FALSE,"PYG"}</definedName>
    <definedName name="________PyG33" localSheetId="3" hidden="1">{#N/A,#N/A,FALSE,"balance";#N/A,#N/A,FALSE,"PYG"}</definedName>
    <definedName name="________PyG33" localSheetId="2" hidden="1">{#N/A,#N/A,FALSE,"balance";#N/A,#N/A,FALSE,"PYG"}</definedName>
    <definedName name="________PyG33" hidden="1">{#N/A,#N/A,FALSE,"balance";#N/A,#N/A,FALSE,"PYG"}</definedName>
    <definedName name="________R" hidden="1">{#N/A,#N/A,FALSE,"GRAFICO";#N/A,#N/A,FALSE,"CAJA (2)";#N/A,#N/A,FALSE,"TERCEROS-PROMEDIO";#N/A,#N/A,FALSE,"CAJA";#N/A,#N/A,FALSE,"INGRESOS1995-2003";#N/A,#N/A,FALSE,"GASTOS1995-2003"}</definedName>
    <definedName name="_______GGF2" localSheetId="1" hidden="1">{#N/A,#N/A,FALSE,"balance";#N/A,#N/A,FALSE,"PYG"}</definedName>
    <definedName name="_______GGF2" localSheetId="4" hidden="1">{#N/A,#N/A,FALSE,"balance";#N/A,#N/A,FALSE,"PYG"}</definedName>
    <definedName name="_______GGF2" localSheetId="0" hidden="1">{#N/A,#N/A,FALSE,"balance";#N/A,#N/A,FALSE,"PYG"}</definedName>
    <definedName name="_______GGF2" localSheetId="3" hidden="1">{#N/A,#N/A,FALSE,"balance";#N/A,#N/A,FALSE,"PYG"}</definedName>
    <definedName name="_______GGF2" localSheetId="2" hidden="1">{#N/A,#N/A,FALSE,"balance";#N/A,#N/A,FALSE,"PYG"}</definedName>
    <definedName name="_______GGF2" hidden="1">{#N/A,#N/A,FALSE,"balance";#N/A,#N/A,FALSE,"PYG"}</definedName>
    <definedName name="_______new1" hidden="1">{#N/A,#N/A,FALSE,"SMT1";#N/A,#N/A,FALSE,"SMT2";#N/A,#N/A,FALSE,"Summary";#N/A,#N/A,FALSE,"Graphs";#N/A,#N/A,FALSE,"4 Panel"}</definedName>
    <definedName name="_______New15" hidden="1">{"EVA",#N/A,FALSE,"SMT2";#N/A,#N/A,FALSE,"Summary";#N/A,#N/A,FALSE,"Graphs";#N/A,#N/A,FALSE,"4 Panel"}</definedName>
    <definedName name="_______New16" hidden="1">{#N/A,#N/A,FALSE,"SMT1";#N/A,#N/A,FALSE,"SMT2";#N/A,#N/A,FALSE,"Summary";#N/A,#N/A,FALSE,"Graphs";#N/A,#N/A,FALSE,"4 Panel"}</definedName>
    <definedName name="_______New17" hidden="1">{#N/A,#N/A,FALSE,"SMT1";#N/A,#N/A,FALSE,"SMT2";#N/A,#N/A,FALSE,"Summary";#N/A,#N/A,FALSE,"Graphs";#N/A,#N/A,FALSE,"4 Panel"}</definedName>
    <definedName name="_______New18" hidden="1">{#N/A,#N/A,FALSE,"Full";#N/A,#N/A,FALSE,"Half";#N/A,#N/A,FALSE,"Op Expenses";#N/A,#N/A,FALSE,"Cap Charge";#N/A,#N/A,FALSE,"Cost C";#N/A,#N/A,FALSE,"PP&amp;E";#N/A,#N/A,FALSE,"R&amp;D"}</definedName>
    <definedName name="_______New19" hidden="1">{"EVA",#N/A,FALSE,"SMT2";#N/A,#N/A,FALSE,"Summary";#N/A,#N/A,FALSE,"Graphs";#N/A,#N/A,FALSE,"4 Panel"}</definedName>
    <definedName name="_______New20" hidden="1">{#N/A,#N/A,FALSE,"SMT1";#N/A,#N/A,FALSE,"SMT2";#N/A,#N/A,FALSE,"Summary";#N/A,#N/A,FALSE,"Graphs";#N/A,#N/A,FALSE,"4 Panel"}</definedName>
    <definedName name="_______New21" hidden="1">{#N/A,#N/A,FALSE,"Full";#N/A,#N/A,FALSE,"Half";#N/A,#N/A,FALSE,"Op Expenses";#N/A,#N/A,FALSE,"Cap Charge";#N/A,#N/A,FALSE,"Cost C";#N/A,#N/A,FALSE,"PP&amp;E";#N/A,#N/A,FALSE,"R&amp;D"}</definedName>
    <definedName name="_______NEW3" hidden="1">{#N/A,#N/A,FALSE,"SMT1";#N/A,#N/A,FALSE,"SMT2";#N/A,#N/A,FALSE,"Summary";#N/A,#N/A,FALSE,"Graphs";#N/A,#N/A,FALSE,"4 Panel"}</definedName>
    <definedName name="_______nEW30" hidden="1">{"EVA",#N/A,FALSE,"SMT2";#N/A,#N/A,FALSE,"Summary";#N/A,#N/A,FALSE,"Graphs";#N/A,#N/A,FALSE,"4 Panel"}</definedName>
    <definedName name="_______New31" hidden="1">{#N/A,#N/A,FALSE,"SMT1";#N/A,#N/A,FALSE,"SMT2";#N/A,#N/A,FALSE,"Summary";#N/A,#N/A,FALSE,"Graphs";#N/A,#N/A,FALSE,"4 Panel"}</definedName>
    <definedName name="_______New32" hidden="1">{#N/A,#N/A,FALSE,"SMT1";#N/A,#N/A,FALSE,"SMT2";#N/A,#N/A,FALSE,"Summary";#N/A,#N/A,FALSE,"Graphs";#N/A,#N/A,FALSE,"4 Panel"}</definedName>
    <definedName name="_______New33" hidden="1">{#N/A,#N/A,FALSE,"Full";#N/A,#N/A,FALSE,"Half";#N/A,#N/A,FALSE,"Op Expenses";#N/A,#N/A,FALSE,"Cap Charge";#N/A,#N/A,FALSE,"Cost C";#N/A,#N/A,FALSE,"PP&amp;E";#N/A,#N/A,FALSE,"R&amp;D"}</definedName>
    <definedName name="_______New34" hidden="1">{"EVA",#N/A,FALSE,"SMT2";#N/A,#N/A,FALSE,"Summary";#N/A,#N/A,FALSE,"Graphs";#N/A,#N/A,FALSE,"4 Panel"}</definedName>
    <definedName name="_______New35" hidden="1">{#N/A,#N/A,FALSE,"SMT1";#N/A,#N/A,FALSE,"SMT2";#N/A,#N/A,FALSE,"Summary";#N/A,#N/A,FALSE,"Graphs";#N/A,#N/A,FALSE,"4 Panel"}</definedName>
    <definedName name="_______New36" hidden="1">{#N/A,#N/A,FALSE,"Full";#N/A,#N/A,FALSE,"Half";#N/A,#N/A,FALSE,"Op Expenses";#N/A,#N/A,FALSE,"Cap Charge";#N/A,#N/A,FALSE,"Cost C";#N/A,#N/A,FALSE,"PP&amp;E";#N/A,#N/A,FALSE,"R&amp;D"}</definedName>
    <definedName name="_______NEW4" hidden="1">{#N/A,#N/A,FALSE,"Full";#N/A,#N/A,FALSE,"Half";#N/A,#N/A,FALSE,"Op Expenses";#N/A,#N/A,FALSE,"Cap Charge";#N/A,#N/A,FALSE,"Cost C";#N/A,#N/A,FALSE,"PP&amp;E";#N/A,#N/A,FALSE,"R&amp;D"}</definedName>
    <definedName name="_______OCT2" localSheetId="1" hidden="1">{#N/A,#N/A,FALSE,"BL&amp;GPA";#N/A,#N/A,FALSE,"Summary";#N/A,#N/A,FALSE,"hts"}</definedName>
    <definedName name="_______OCT2" localSheetId="4" hidden="1">{#N/A,#N/A,FALSE,"BL&amp;GPA";#N/A,#N/A,FALSE,"Summary";#N/A,#N/A,FALSE,"hts"}</definedName>
    <definedName name="_______OCT2" localSheetId="0" hidden="1">{#N/A,#N/A,FALSE,"BL&amp;GPA";#N/A,#N/A,FALSE,"Summary";#N/A,#N/A,FALSE,"hts"}</definedName>
    <definedName name="_______OCT2" localSheetId="3" hidden="1">{#N/A,#N/A,FALSE,"BL&amp;GPA";#N/A,#N/A,FALSE,"Summary";#N/A,#N/A,FALSE,"hts"}</definedName>
    <definedName name="_______OCT2" localSheetId="2" hidden="1">{#N/A,#N/A,FALSE,"BL&amp;GPA";#N/A,#N/A,FALSE,"Summary";#N/A,#N/A,FALSE,"hts"}</definedName>
    <definedName name="_______OCT2" hidden="1">{#N/A,#N/A,FALSE,"BL&amp;GPA";#N/A,#N/A,FALSE,"Summary";#N/A,#N/A,FALSE,"hts"}</definedName>
    <definedName name="_______ok1" localSheetId="1" hidden="1">{#N/A,#N/A,FALSE,"balance";#N/A,#N/A,FALSE,"PYG"}</definedName>
    <definedName name="_______ok1" localSheetId="4" hidden="1">{#N/A,#N/A,FALSE,"balance";#N/A,#N/A,FALSE,"PYG"}</definedName>
    <definedName name="_______ok1" localSheetId="0" hidden="1">{#N/A,#N/A,FALSE,"balance";#N/A,#N/A,FALSE,"PYG"}</definedName>
    <definedName name="_______ok1" localSheetId="3" hidden="1">{#N/A,#N/A,FALSE,"balance";#N/A,#N/A,FALSE,"PYG"}</definedName>
    <definedName name="_______ok1" localSheetId="2" hidden="1">{#N/A,#N/A,FALSE,"balance";#N/A,#N/A,FALSE,"PYG"}</definedName>
    <definedName name="_______ok1" hidden="1">{#N/A,#N/A,FALSE,"balance";#N/A,#N/A,FALSE,"PYG"}</definedName>
    <definedName name="_______Ok2" localSheetId="1" hidden="1">{#N/A,#N/A,FALSE,"balance";#N/A,#N/A,FALSE,"PYG"}</definedName>
    <definedName name="_______Ok2" localSheetId="4" hidden="1">{#N/A,#N/A,FALSE,"balance";#N/A,#N/A,FALSE,"PYG"}</definedName>
    <definedName name="_______Ok2" localSheetId="0" hidden="1">{#N/A,#N/A,FALSE,"balance";#N/A,#N/A,FALSE,"PYG"}</definedName>
    <definedName name="_______Ok2" localSheetId="3" hidden="1">{#N/A,#N/A,FALSE,"balance";#N/A,#N/A,FALSE,"PYG"}</definedName>
    <definedName name="_______Ok2" localSheetId="2" hidden="1">{#N/A,#N/A,FALSE,"balance";#N/A,#N/A,FALSE,"PYG"}</definedName>
    <definedName name="_______Ok2" hidden="1">{#N/A,#N/A,FALSE,"balance";#N/A,#N/A,FALSE,"PYG"}</definedName>
    <definedName name="_______PyG2" localSheetId="1" hidden="1">{#N/A,#N/A,FALSE,"balance";#N/A,#N/A,FALSE,"PYG"}</definedName>
    <definedName name="_______PyG2" localSheetId="4" hidden="1">{#N/A,#N/A,FALSE,"balance";#N/A,#N/A,FALSE,"PYG"}</definedName>
    <definedName name="_______PyG2" localSheetId="0" hidden="1">{#N/A,#N/A,FALSE,"balance";#N/A,#N/A,FALSE,"PYG"}</definedName>
    <definedName name="_______PyG2" localSheetId="3" hidden="1">{#N/A,#N/A,FALSE,"balance";#N/A,#N/A,FALSE,"PYG"}</definedName>
    <definedName name="_______PyG2" localSheetId="2" hidden="1">{#N/A,#N/A,FALSE,"balance";#N/A,#N/A,FALSE,"PYG"}</definedName>
    <definedName name="_______PyG2" hidden="1">{#N/A,#N/A,FALSE,"balance";#N/A,#N/A,FALSE,"PYG"}</definedName>
    <definedName name="_______PYG3" localSheetId="1" hidden="1">{#N/A,#N/A,FALSE,"balance";#N/A,#N/A,FALSE,"PYG"}</definedName>
    <definedName name="_______PYG3" localSheetId="4" hidden="1">{#N/A,#N/A,FALSE,"balance";#N/A,#N/A,FALSE,"PYG"}</definedName>
    <definedName name="_______PYG3" localSheetId="0" hidden="1">{#N/A,#N/A,FALSE,"balance";#N/A,#N/A,FALSE,"PYG"}</definedName>
    <definedName name="_______PYG3" localSheetId="3" hidden="1">{#N/A,#N/A,FALSE,"balance";#N/A,#N/A,FALSE,"PYG"}</definedName>
    <definedName name="_______PYG3" localSheetId="2" hidden="1">{#N/A,#N/A,FALSE,"balance";#N/A,#N/A,FALSE,"PYG"}</definedName>
    <definedName name="_______PYG3" hidden="1">{#N/A,#N/A,FALSE,"balance";#N/A,#N/A,FALSE,"PYG"}</definedName>
    <definedName name="_______PyG33" localSheetId="1" hidden="1">{#N/A,#N/A,FALSE,"balance";#N/A,#N/A,FALSE,"PYG"}</definedName>
    <definedName name="_______PyG33" localSheetId="4" hidden="1">{#N/A,#N/A,FALSE,"balance";#N/A,#N/A,FALSE,"PYG"}</definedName>
    <definedName name="_______PyG33" localSheetId="0" hidden="1">{#N/A,#N/A,FALSE,"balance";#N/A,#N/A,FALSE,"PYG"}</definedName>
    <definedName name="_______PyG33" localSheetId="3" hidden="1">{#N/A,#N/A,FALSE,"balance";#N/A,#N/A,FALSE,"PYG"}</definedName>
    <definedName name="_______PyG33" localSheetId="2" hidden="1">{#N/A,#N/A,FALSE,"balance";#N/A,#N/A,FALSE,"PYG"}</definedName>
    <definedName name="_______PyG33" hidden="1">{#N/A,#N/A,FALSE,"balance";#N/A,#N/A,FALSE,"PYG"}</definedName>
    <definedName name="_______PYG4" hidden="1">{#N/A,#N/A,FALSE,"balance";#N/A,#N/A,FALSE,"PYG"}</definedName>
    <definedName name="_______R" hidden="1">{#N/A,#N/A,FALSE,"GRAFICO";#N/A,#N/A,FALSE,"CAJA (2)";#N/A,#N/A,FALSE,"TERCEROS-PROMEDIO";#N/A,#N/A,FALSE,"CAJA";#N/A,#N/A,FALSE,"INGRESOS1995-2003";#N/A,#N/A,FALSE,"GASTOS1995-2003"}</definedName>
    <definedName name="______GGF2" localSheetId="6" hidden="1">{#N/A,#N/A,FALSE,"balance";#N/A,#N/A,FALSE,"PYG"}</definedName>
    <definedName name="______GGF2" localSheetId="1" hidden="1">{#N/A,#N/A,FALSE,"balance";#N/A,#N/A,FALSE,"PYG"}</definedName>
    <definedName name="______GGF2" localSheetId="4" hidden="1">{#N/A,#N/A,FALSE,"balance";#N/A,#N/A,FALSE,"PYG"}</definedName>
    <definedName name="______GGF2" localSheetId="0" hidden="1">{#N/A,#N/A,FALSE,"balance";#N/A,#N/A,FALSE,"PYG"}</definedName>
    <definedName name="______GGF2" localSheetId="3" hidden="1">{#N/A,#N/A,FALSE,"balance";#N/A,#N/A,FALSE,"PYG"}</definedName>
    <definedName name="______GGF2" localSheetId="2" hidden="1">{#N/A,#N/A,FALSE,"balance";#N/A,#N/A,FALSE,"PYG"}</definedName>
    <definedName name="______GGF2" localSheetId="5" hidden="1">{#N/A,#N/A,FALSE,"balance";#N/A,#N/A,FALSE,"PYG"}</definedName>
    <definedName name="______GGF2" localSheetId="7" hidden="1">{#N/A,#N/A,FALSE,"balance";#N/A,#N/A,FALSE,"PYG"}</definedName>
    <definedName name="______GGF2" hidden="1">{#N/A,#N/A,FALSE,"balance";#N/A,#N/A,FALSE,"PYG"}</definedName>
    <definedName name="______new1" hidden="1">{#N/A,#N/A,FALSE,"SMT1";#N/A,#N/A,FALSE,"SMT2";#N/A,#N/A,FALSE,"Summary";#N/A,#N/A,FALSE,"Graphs";#N/A,#N/A,FALSE,"4 Panel"}</definedName>
    <definedName name="______New15" hidden="1">{"EVA",#N/A,FALSE,"SMT2";#N/A,#N/A,FALSE,"Summary";#N/A,#N/A,FALSE,"Graphs";#N/A,#N/A,FALSE,"4 Panel"}</definedName>
    <definedName name="______New16" hidden="1">{#N/A,#N/A,FALSE,"SMT1";#N/A,#N/A,FALSE,"SMT2";#N/A,#N/A,FALSE,"Summary";#N/A,#N/A,FALSE,"Graphs";#N/A,#N/A,FALSE,"4 Panel"}</definedName>
    <definedName name="______New17" hidden="1">{#N/A,#N/A,FALSE,"SMT1";#N/A,#N/A,FALSE,"SMT2";#N/A,#N/A,FALSE,"Summary";#N/A,#N/A,FALSE,"Graphs";#N/A,#N/A,FALSE,"4 Panel"}</definedName>
    <definedName name="______New18" hidden="1">{#N/A,#N/A,FALSE,"Full";#N/A,#N/A,FALSE,"Half";#N/A,#N/A,FALSE,"Op Expenses";#N/A,#N/A,FALSE,"Cap Charge";#N/A,#N/A,FALSE,"Cost C";#N/A,#N/A,FALSE,"PP&amp;E";#N/A,#N/A,FALSE,"R&amp;D"}</definedName>
    <definedName name="______New19" hidden="1">{"EVA",#N/A,FALSE,"SMT2";#N/A,#N/A,FALSE,"Summary";#N/A,#N/A,FALSE,"Graphs";#N/A,#N/A,FALSE,"4 Panel"}</definedName>
    <definedName name="______New20" hidden="1">{#N/A,#N/A,FALSE,"SMT1";#N/A,#N/A,FALSE,"SMT2";#N/A,#N/A,FALSE,"Summary";#N/A,#N/A,FALSE,"Graphs";#N/A,#N/A,FALSE,"4 Panel"}</definedName>
    <definedName name="______New21" hidden="1">{#N/A,#N/A,FALSE,"Full";#N/A,#N/A,FALSE,"Half";#N/A,#N/A,FALSE,"Op Expenses";#N/A,#N/A,FALSE,"Cap Charge";#N/A,#N/A,FALSE,"Cost C";#N/A,#N/A,FALSE,"PP&amp;E";#N/A,#N/A,FALSE,"R&amp;D"}</definedName>
    <definedName name="______NEW3" hidden="1">{#N/A,#N/A,FALSE,"SMT1";#N/A,#N/A,FALSE,"SMT2";#N/A,#N/A,FALSE,"Summary";#N/A,#N/A,FALSE,"Graphs";#N/A,#N/A,FALSE,"4 Panel"}</definedName>
    <definedName name="______nEW30" hidden="1">{"EVA",#N/A,FALSE,"SMT2";#N/A,#N/A,FALSE,"Summary";#N/A,#N/A,FALSE,"Graphs";#N/A,#N/A,FALSE,"4 Panel"}</definedName>
    <definedName name="______New31" hidden="1">{#N/A,#N/A,FALSE,"SMT1";#N/A,#N/A,FALSE,"SMT2";#N/A,#N/A,FALSE,"Summary";#N/A,#N/A,FALSE,"Graphs";#N/A,#N/A,FALSE,"4 Panel"}</definedName>
    <definedName name="______New32" hidden="1">{#N/A,#N/A,FALSE,"SMT1";#N/A,#N/A,FALSE,"SMT2";#N/A,#N/A,FALSE,"Summary";#N/A,#N/A,FALSE,"Graphs";#N/A,#N/A,FALSE,"4 Panel"}</definedName>
    <definedName name="______New33" hidden="1">{#N/A,#N/A,FALSE,"Full";#N/A,#N/A,FALSE,"Half";#N/A,#N/A,FALSE,"Op Expenses";#N/A,#N/A,FALSE,"Cap Charge";#N/A,#N/A,FALSE,"Cost C";#N/A,#N/A,FALSE,"PP&amp;E";#N/A,#N/A,FALSE,"R&amp;D"}</definedName>
    <definedName name="______New34" hidden="1">{"EVA",#N/A,FALSE,"SMT2";#N/A,#N/A,FALSE,"Summary";#N/A,#N/A,FALSE,"Graphs";#N/A,#N/A,FALSE,"4 Panel"}</definedName>
    <definedName name="______New35" hidden="1">{#N/A,#N/A,FALSE,"SMT1";#N/A,#N/A,FALSE,"SMT2";#N/A,#N/A,FALSE,"Summary";#N/A,#N/A,FALSE,"Graphs";#N/A,#N/A,FALSE,"4 Panel"}</definedName>
    <definedName name="______New36" hidden="1">{#N/A,#N/A,FALSE,"Full";#N/A,#N/A,FALSE,"Half";#N/A,#N/A,FALSE,"Op Expenses";#N/A,#N/A,FALSE,"Cap Charge";#N/A,#N/A,FALSE,"Cost C";#N/A,#N/A,FALSE,"PP&amp;E";#N/A,#N/A,FALSE,"R&amp;D"}</definedName>
    <definedName name="______NEW4" hidden="1">{#N/A,#N/A,FALSE,"Full";#N/A,#N/A,FALSE,"Half";#N/A,#N/A,FALSE,"Op Expenses";#N/A,#N/A,FALSE,"Cap Charge";#N/A,#N/A,FALSE,"Cost C";#N/A,#N/A,FALSE,"PP&amp;E";#N/A,#N/A,FALSE,"R&amp;D"}</definedName>
    <definedName name="______OCT2" localSheetId="6" hidden="1">{#N/A,#N/A,FALSE,"BL&amp;GPA";#N/A,#N/A,FALSE,"Summary";#N/A,#N/A,FALSE,"hts"}</definedName>
    <definedName name="______OCT2" localSheetId="1" hidden="1">{#N/A,#N/A,FALSE,"BL&amp;GPA";#N/A,#N/A,FALSE,"Summary";#N/A,#N/A,FALSE,"hts"}</definedName>
    <definedName name="______OCT2" localSheetId="4" hidden="1">{#N/A,#N/A,FALSE,"BL&amp;GPA";#N/A,#N/A,FALSE,"Summary";#N/A,#N/A,FALSE,"hts"}</definedName>
    <definedName name="______OCT2" localSheetId="0" hidden="1">{#N/A,#N/A,FALSE,"BL&amp;GPA";#N/A,#N/A,FALSE,"Summary";#N/A,#N/A,FALSE,"hts"}</definedName>
    <definedName name="______OCT2" localSheetId="3" hidden="1">{#N/A,#N/A,FALSE,"BL&amp;GPA";#N/A,#N/A,FALSE,"Summary";#N/A,#N/A,FALSE,"hts"}</definedName>
    <definedName name="______OCT2" localSheetId="2" hidden="1">{#N/A,#N/A,FALSE,"BL&amp;GPA";#N/A,#N/A,FALSE,"Summary";#N/A,#N/A,FALSE,"hts"}</definedName>
    <definedName name="______OCT2" localSheetId="5" hidden="1">{#N/A,#N/A,FALSE,"BL&amp;GPA";#N/A,#N/A,FALSE,"Summary";#N/A,#N/A,FALSE,"hts"}</definedName>
    <definedName name="______OCT2" localSheetId="7" hidden="1">{#N/A,#N/A,FALSE,"BL&amp;GPA";#N/A,#N/A,FALSE,"Summary";#N/A,#N/A,FALSE,"hts"}</definedName>
    <definedName name="______OCT2" hidden="1">{#N/A,#N/A,FALSE,"BL&amp;GPA";#N/A,#N/A,FALSE,"Summary";#N/A,#N/A,FALSE,"hts"}</definedName>
    <definedName name="______ok1" localSheetId="6" hidden="1">{#N/A,#N/A,FALSE,"balance";#N/A,#N/A,FALSE,"PYG"}</definedName>
    <definedName name="______ok1" localSheetId="1" hidden="1">{#N/A,#N/A,FALSE,"balance";#N/A,#N/A,FALSE,"PYG"}</definedName>
    <definedName name="______ok1" localSheetId="4" hidden="1">{#N/A,#N/A,FALSE,"balance";#N/A,#N/A,FALSE,"PYG"}</definedName>
    <definedName name="______ok1" localSheetId="0" hidden="1">{#N/A,#N/A,FALSE,"balance";#N/A,#N/A,FALSE,"PYG"}</definedName>
    <definedName name="______ok1" localSheetId="3" hidden="1">{#N/A,#N/A,FALSE,"balance";#N/A,#N/A,FALSE,"PYG"}</definedName>
    <definedName name="______ok1" localSheetId="2" hidden="1">{#N/A,#N/A,FALSE,"balance";#N/A,#N/A,FALSE,"PYG"}</definedName>
    <definedName name="______ok1" localSheetId="5" hidden="1">{#N/A,#N/A,FALSE,"balance";#N/A,#N/A,FALSE,"PYG"}</definedName>
    <definedName name="______ok1" localSheetId="7" hidden="1">{#N/A,#N/A,FALSE,"balance";#N/A,#N/A,FALSE,"PYG"}</definedName>
    <definedName name="______ok1" hidden="1">{#N/A,#N/A,FALSE,"balance";#N/A,#N/A,FALSE,"PYG"}</definedName>
    <definedName name="______Ok2" localSheetId="6" hidden="1">{#N/A,#N/A,FALSE,"balance";#N/A,#N/A,FALSE,"PYG"}</definedName>
    <definedName name="______Ok2" localSheetId="1" hidden="1">{#N/A,#N/A,FALSE,"balance";#N/A,#N/A,FALSE,"PYG"}</definedName>
    <definedName name="______Ok2" localSheetId="4" hidden="1">{#N/A,#N/A,FALSE,"balance";#N/A,#N/A,FALSE,"PYG"}</definedName>
    <definedName name="______Ok2" localSheetId="0" hidden="1">{#N/A,#N/A,FALSE,"balance";#N/A,#N/A,FALSE,"PYG"}</definedName>
    <definedName name="______Ok2" localSheetId="3" hidden="1">{#N/A,#N/A,FALSE,"balance";#N/A,#N/A,FALSE,"PYG"}</definedName>
    <definedName name="______Ok2" localSheetId="2" hidden="1">{#N/A,#N/A,FALSE,"balance";#N/A,#N/A,FALSE,"PYG"}</definedName>
    <definedName name="______Ok2" localSheetId="5" hidden="1">{#N/A,#N/A,FALSE,"balance";#N/A,#N/A,FALSE,"PYG"}</definedName>
    <definedName name="______Ok2" localSheetId="7" hidden="1">{#N/A,#N/A,FALSE,"balance";#N/A,#N/A,FALSE,"PYG"}</definedName>
    <definedName name="______Ok2" hidden="1">{#N/A,#N/A,FALSE,"balance";#N/A,#N/A,FALSE,"PYG"}</definedName>
    <definedName name="______PyG2" localSheetId="6" hidden="1">{#N/A,#N/A,FALSE,"balance";#N/A,#N/A,FALSE,"PYG"}</definedName>
    <definedName name="______PyG2" localSheetId="1" hidden="1">{#N/A,#N/A,FALSE,"balance";#N/A,#N/A,FALSE,"PYG"}</definedName>
    <definedName name="______PyG2" localSheetId="4" hidden="1">{#N/A,#N/A,FALSE,"balance";#N/A,#N/A,FALSE,"PYG"}</definedName>
    <definedName name="______PyG2" localSheetId="0" hidden="1">{#N/A,#N/A,FALSE,"balance";#N/A,#N/A,FALSE,"PYG"}</definedName>
    <definedName name="______PyG2" localSheetId="3" hidden="1">{#N/A,#N/A,FALSE,"balance";#N/A,#N/A,FALSE,"PYG"}</definedName>
    <definedName name="______PyG2" localSheetId="2" hidden="1">{#N/A,#N/A,FALSE,"balance";#N/A,#N/A,FALSE,"PYG"}</definedName>
    <definedName name="______PyG2" localSheetId="5" hidden="1">{#N/A,#N/A,FALSE,"balance";#N/A,#N/A,FALSE,"PYG"}</definedName>
    <definedName name="______PyG2" localSheetId="7" hidden="1">{#N/A,#N/A,FALSE,"balance";#N/A,#N/A,FALSE,"PYG"}</definedName>
    <definedName name="______PyG2" hidden="1">{#N/A,#N/A,FALSE,"balance";#N/A,#N/A,FALSE,"PYG"}</definedName>
    <definedName name="______PYG3" localSheetId="6" hidden="1">{#N/A,#N/A,FALSE,"balance";#N/A,#N/A,FALSE,"PYG"}</definedName>
    <definedName name="______PYG3" localSheetId="1" hidden="1">{#N/A,#N/A,FALSE,"balance";#N/A,#N/A,FALSE,"PYG"}</definedName>
    <definedName name="______PYG3" localSheetId="4" hidden="1">{#N/A,#N/A,FALSE,"balance";#N/A,#N/A,FALSE,"PYG"}</definedName>
    <definedName name="______PYG3" localSheetId="0" hidden="1">{#N/A,#N/A,FALSE,"balance";#N/A,#N/A,FALSE,"PYG"}</definedName>
    <definedName name="______PYG3" localSheetId="3" hidden="1">{#N/A,#N/A,FALSE,"balance";#N/A,#N/A,FALSE,"PYG"}</definedName>
    <definedName name="______PYG3" localSheetId="2" hidden="1">{#N/A,#N/A,FALSE,"balance";#N/A,#N/A,FALSE,"PYG"}</definedName>
    <definedName name="______PYG3" localSheetId="5" hidden="1">{#N/A,#N/A,FALSE,"balance";#N/A,#N/A,FALSE,"PYG"}</definedName>
    <definedName name="______PYG3" localSheetId="7" hidden="1">{#N/A,#N/A,FALSE,"balance";#N/A,#N/A,FALSE,"PYG"}</definedName>
    <definedName name="______PYG3" hidden="1">{#N/A,#N/A,FALSE,"balance";#N/A,#N/A,FALSE,"PYG"}</definedName>
    <definedName name="______PyG33" localSheetId="6" hidden="1">{#N/A,#N/A,FALSE,"balance";#N/A,#N/A,FALSE,"PYG"}</definedName>
    <definedName name="______PyG33" localSheetId="1" hidden="1">{#N/A,#N/A,FALSE,"balance";#N/A,#N/A,FALSE,"PYG"}</definedName>
    <definedName name="______PyG33" localSheetId="4" hidden="1">{#N/A,#N/A,FALSE,"balance";#N/A,#N/A,FALSE,"PYG"}</definedName>
    <definedName name="______PyG33" localSheetId="0" hidden="1">{#N/A,#N/A,FALSE,"balance";#N/A,#N/A,FALSE,"PYG"}</definedName>
    <definedName name="______PyG33" localSheetId="3" hidden="1">{#N/A,#N/A,FALSE,"balance";#N/A,#N/A,FALSE,"PYG"}</definedName>
    <definedName name="______PyG33" localSheetId="2" hidden="1">{#N/A,#N/A,FALSE,"balance";#N/A,#N/A,FALSE,"PYG"}</definedName>
    <definedName name="______PyG33" localSheetId="5" hidden="1">{#N/A,#N/A,FALSE,"balance";#N/A,#N/A,FALSE,"PYG"}</definedName>
    <definedName name="______PyG33" localSheetId="7" hidden="1">{#N/A,#N/A,FALSE,"balance";#N/A,#N/A,FALSE,"PYG"}</definedName>
    <definedName name="______PyG33" hidden="1">{#N/A,#N/A,FALSE,"balance";#N/A,#N/A,FALSE,"PYG"}</definedName>
    <definedName name="______PYG4" hidden="1">{#N/A,#N/A,FALSE,"balance";#N/A,#N/A,FALSE,"PYG"}</definedName>
    <definedName name="______R" hidden="1">{#N/A,#N/A,FALSE,"GRAFICO";#N/A,#N/A,FALSE,"CAJA (2)";#N/A,#N/A,FALSE,"TERCEROS-PROMEDIO";#N/A,#N/A,FALSE,"CAJA";#N/A,#N/A,FALSE,"INGRESOS1995-2003";#N/A,#N/A,FALSE,"GASTOS1995-2003"}</definedName>
    <definedName name="_____GGF2" localSheetId="1" hidden="1">{#N/A,#N/A,FALSE,"balance";#N/A,#N/A,FALSE,"PYG"}</definedName>
    <definedName name="_____GGF2" localSheetId="4" hidden="1">{#N/A,#N/A,FALSE,"balance";#N/A,#N/A,FALSE,"PYG"}</definedName>
    <definedName name="_____GGF2" localSheetId="0" hidden="1">{#N/A,#N/A,FALSE,"balance";#N/A,#N/A,FALSE,"PYG"}</definedName>
    <definedName name="_____GGF2" localSheetId="3" hidden="1">{#N/A,#N/A,FALSE,"balance";#N/A,#N/A,FALSE,"PYG"}</definedName>
    <definedName name="_____GGF2" localSheetId="2" hidden="1">{#N/A,#N/A,FALSE,"balance";#N/A,#N/A,FALSE,"PYG"}</definedName>
    <definedName name="_____GGF2" hidden="1">{#N/A,#N/A,FALSE,"balance";#N/A,#N/A,FALSE,"PYG"}</definedName>
    <definedName name="_____new1" hidden="1">{#N/A,#N/A,FALSE,"SMT1";#N/A,#N/A,FALSE,"SMT2";#N/A,#N/A,FALSE,"Summary";#N/A,#N/A,FALSE,"Graphs";#N/A,#N/A,FALSE,"4 Panel"}</definedName>
    <definedName name="_____New15" hidden="1">{"EVA",#N/A,FALSE,"SMT2";#N/A,#N/A,FALSE,"Summary";#N/A,#N/A,FALSE,"Graphs";#N/A,#N/A,FALSE,"4 Panel"}</definedName>
    <definedName name="_____New16" hidden="1">{#N/A,#N/A,FALSE,"SMT1";#N/A,#N/A,FALSE,"SMT2";#N/A,#N/A,FALSE,"Summary";#N/A,#N/A,FALSE,"Graphs";#N/A,#N/A,FALSE,"4 Panel"}</definedName>
    <definedName name="_____New17" hidden="1">{#N/A,#N/A,FALSE,"SMT1";#N/A,#N/A,FALSE,"SMT2";#N/A,#N/A,FALSE,"Summary";#N/A,#N/A,FALSE,"Graphs";#N/A,#N/A,FALSE,"4 Panel"}</definedName>
    <definedName name="_____New18" hidden="1">{#N/A,#N/A,FALSE,"Full";#N/A,#N/A,FALSE,"Half";#N/A,#N/A,FALSE,"Op Expenses";#N/A,#N/A,FALSE,"Cap Charge";#N/A,#N/A,FALSE,"Cost C";#N/A,#N/A,FALSE,"PP&amp;E";#N/A,#N/A,FALSE,"R&amp;D"}</definedName>
    <definedName name="_____New19" hidden="1">{"EVA",#N/A,FALSE,"SMT2";#N/A,#N/A,FALSE,"Summary";#N/A,#N/A,FALSE,"Graphs";#N/A,#N/A,FALSE,"4 Panel"}</definedName>
    <definedName name="_____New20" hidden="1">{#N/A,#N/A,FALSE,"SMT1";#N/A,#N/A,FALSE,"SMT2";#N/A,#N/A,FALSE,"Summary";#N/A,#N/A,FALSE,"Graphs";#N/A,#N/A,FALSE,"4 Panel"}</definedName>
    <definedName name="_____New21" hidden="1">{#N/A,#N/A,FALSE,"Full";#N/A,#N/A,FALSE,"Half";#N/A,#N/A,FALSE,"Op Expenses";#N/A,#N/A,FALSE,"Cap Charge";#N/A,#N/A,FALSE,"Cost C";#N/A,#N/A,FALSE,"PP&amp;E";#N/A,#N/A,FALSE,"R&amp;D"}</definedName>
    <definedName name="_____NEW3" hidden="1">{#N/A,#N/A,FALSE,"SMT1";#N/A,#N/A,FALSE,"SMT2";#N/A,#N/A,FALSE,"Summary";#N/A,#N/A,FALSE,"Graphs";#N/A,#N/A,FALSE,"4 Panel"}</definedName>
    <definedName name="_____nEW30" hidden="1">{"EVA",#N/A,FALSE,"SMT2";#N/A,#N/A,FALSE,"Summary";#N/A,#N/A,FALSE,"Graphs";#N/A,#N/A,FALSE,"4 Panel"}</definedName>
    <definedName name="_____New31" hidden="1">{#N/A,#N/A,FALSE,"SMT1";#N/A,#N/A,FALSE,"SMT2";#N/A,#N/A,FALSE,"Summary";#N/A,#N/A,FALSE,"Graphs";#N/A,#N/A,FALSE,"4 Panel"}</definedName>
    <definedName name="_____New32" hidden="1">{#N/A,#N/A,FALSE,"SMT1";#N/A,#N/A,FALSE,"SMT2";#N/A,#N/A,FALSE,"Summary";#N/A,#N/A,FALSE,"Graphs";#N/A,#N/A,FALSE,"4 Panel"}</definedName>
    <definedName name="_____New33" hidden="1">{#N/A,#N/A,FALSE,"Full";#N/A,#N/A,FALSE,"Half";#N/A,#N/A,FALSE,"Op Expenses";#N/A,#N/A,FALSE,"Cap Charge";#N/A,#N/A,FALSE,"Cost C";#N/A,#N/A,FALSE,"PP&amp;E";#N/A,#N/A,FALSE,"R&amp;D"}</definedName>
    <definedName name="_____New34" hidden="1">{"EVA",#N/A,FALSE,"SMT2";#N/A,#N/A,FALSE,"Summary";#N/A,#N/A,FALSE,"Graphs";#N/A,#N/A,FALSE,"4 Panel"}</definedName>
    <definedName name="_____New35" hidden="1">{#N/A,#N/A,FALSE,"SMT1";#N/A,#N/A,FALSE,"SMT2";#N/A,#N/A,FALSE,"Summary";#N/A,#N/A,FALSE,"Graphs";#N/A,#N/A,FALSE,"4 Panel"}</definedName>
    <definedName name="_____New36" hidden="1">{#N/A,#N/A,FALSE,"Full";#N/A,#N/A,FALSE,"Half";#N/A,#N/A,FALSE,"Op Expenses";#N/A,#N/A,FALSE,"Cap Charge";#N/A,#N/A,FALSE,"Cost C";#N/A,#N/A,FALSE,"PP&amp;E";#N/A,#N/A,FALSE,"R&amp;D"}</definedName>
    <definedName name="_____NEW4" hidden="1">{#N/A,#N/A,FALSE,"Full";#N/A,#N/A,FALSE,"Half";#N/A,#N/A,FALSE,"Op Expenses";#N/A,#N/A,FALSE,"Cap Charge";#N/A,#N/A,FALSE,"Cost C";#N/A,#N/A,FALSE,"PP&amp;E";#N/A,#N/A,FALSE,"R&amp;D"}</definedName>
    <definedName name="_____OCT2" localSheetId="1" hidden="1">{#N/A,#N/A,FALSE,"BL&amp;GPA";#N/A,#N/A,FALSE,"Summary";#N/A,#N/A,FALSE,"hts"}</definedName>
    <definedName name="_____OCT2" localSheetId="4" hidden="1">{#N/A,#N/A,FALSE,"BL&amp;GPA";#N/A,#N/A,FALSE,"Summary";#N/A,#N/A,FALSE,"hts"}</definedName>
    <definedName name="_____OCT2" localSheetId="0" hidden="1">{#N/A,#N/A,FALSE,"BL&amp;GPA";#N/A,#N/A,FALSE,"Summary";#N/A,#N/A,FALSE,"hts"}</definedName>
    <definedName name="_____OCT2" localSheetId="3" hidden="1">{#N/A,#N/A,FALSE,"BL&amp;GPA";#N/A,#N/A,FALSE,"Summary";#N/A,#N/A,FALSE,"hts"}</definedName>
    <definedName name="_____OCT2" localSheetId="2" hidden="1">{#N/A,#N/A,FALSE,"BL&amp;GPA";#N/A,#N/A,FALSE,"Summary";#N/A,#N/A,FALSE,"hts"}</definedName>
    <definedName name="_____OCT2" hidden="1">{#N/A,#N/A,FALSE,"BL&amp;GPA";#N/A,#N/A,FALSE,"Summary";#N/A,#N/A,FALSE,"hts"}</definedName>
    <definedName name="_____ok1" localSheetId="1" hidden="1">{#N/A,#N/A,FALSE,"balance";#N/A,#N/A,FALSE,"PYG"}</definedName>
    <definedName name="_____ok1" localSheetId="4" hidden="1">{#N/A,#N/A,FALSE,"balance";#N/A,#N/A,FALSE,"PYG"}</definedName>
    <definedName name="_____ok1" localSheetId="0" hidden="1">{#N/A,#N/A,FALSE,"balance";#N/A,#N/A,FALSE,"PYG"}</definedName>
    <definedName name="_____ok1" localSheetId="3" hidden="1">{#N/A,#N/A,FALSE,"balance";#N/A,#N/A,FALSE,"PYG"}</definedName>
    <definedName name="_____ok1" localSheetId="2" hidden="1">{#N/A,#N/A,FALSE,"balance";#N/A,#N/A,FALSE,"PYG"}</definedName>
    <definedName name="_____ok1" hidden="1">{#N/A,#N/A,FALSE,"balance";#N/A,#N/A,FALSE,"PYG"}</definedName>
    <definedName name="_____Ok2" localSheetId="1" hidden="1">{#N/A,#N/A,FALSE,"balance";#N/A,#N/A,FALSE,"PYG"}</definedName>
    <definedName name="_____Ok2" localSheetId="4" hidden="1">{#N/A,#N/A,FALSE,"balance";#N/A,#N/A,FALSE,"PYG"}</definedName>
    <definedName name="_____Ok2" localSheetId="0" hidden="1">{#N/A,#N/A,FALSE,"balance";#N/A,#N/A,FALSE,"PYG"}</definedName>
    <definedName name="_____Ok2" localSheetId="3" hidden="1">{#N/A,#N/A,FALSE,"balance";#N/A,#N/A,FALSE,"PYG"}</definedName>
    <definedName name="_____Ok2" localSheetId="2" hidden="1">{#N/A,#N/A,FALSE,"balance";#N/A,#N/A,FALSE,"PYG"}</definedName>
    <definedName name="_____Ok2" hidden="1">{#N/A,#N/A,FALSE,"balance";#N/A,#N/A,FALSE,"PYG"}</definedName>
    <definedName name="_____PyG2" localSheetId="1" hidden="1">{#N/A,#N/A,FALSE,"balance";#N/A,#N/A,FALSE,"PYG"}</definedName>
    <definedName name="_____PyG2" localSheetId="4" hidden="1">{#N/A,#N/A,FALSE,"balance";#N/A,#N/A,FALSE,"PYG"}</definedName>
    <definedName name="_____PyG2" localSheetId="0" hidden="1">{#N/A,#N/A,FALSE,"balance";#N/A,#N/A,FALSE,"PYG"}</definedName>
    <definedName name="_____PyG2" localSheetId="3" hidden="1">{#N/A,#N/A,FALSE,"balance";#N/A,#N/A,FALSE,"PYG"}</definedName>
    <definedName name="_____PyG2" localSheetId="2" hidden="1">{#N/A,#N/A,FALSE,"balance";#N/A,#N/A,FALSE,"PYG"}</definedName>
    <definedName name="_____PyG2" hidden="1">{#N/A,#N/A,FALSE,"balance";#N/A,#N/A,FALSE,"PYG"}</definedName>
    <definedName name="_____PYG3" localSheetId="1" hidden="1">{#N/A,#N/A,FALSE,"balance";#N/A,#N/A,FALSE,"PYG"}</definedName>
    <definedName name="_____PYG3" localSheetId="4" hidden="1">{#N/A,#N/A,FALSE,"balance";#N/A,#N/A,FALSE,"PYG"}</definedName>
    <definedName name="_____PYG3" localSheetId="0" hidden="1">{#N/A,#N/A,FALSE,"balance";#N/A,#N/A,FALSE,"PYG"}</definedName>
    <definedName name="_____PYG3" localSheetId="3" hidden="1">{#N/A,#N/A,FALSE,"balance";#N/A,#N/A,FALSE,"PYG"}</definedName>
    <definedName name="_____PYG3" localSheetId="2" hidden="1">{#N/A,#N/A,FALSE,"balance";#N/A,#N/A,FALSE,"PYG"}</definedName>
    <definedName name="_____PYG3" hidden="1">{#N/A,#N/A,FALSE,"balance";#N/A,#N/A,FALSE,"PYG"}</definedName>
    <definedName name="_____PyG33" localSheetId="1" hidden="1">{#N/A,#N/A,FALSE,"balance";#N/A,#N/A,FALSE,"PYG"}</definedName>
    <definedName name="_____PyG33" localSheetId="4" hidden="1">{#N/A,#N/A,FALSE,"balance";#N/A,#N/A,FALSE,"PYG"}</definedName>
    <definedName name="_____PyG33" localSheetId="0" hidden="1">{#N/A,#N/A,FALSE,"balance";#N/A,#N/A,FALSE,"PYG"}</definedName>
    <definedName name="_____PyG33" localSheetId="3" hidden="1">{#N/A,#N/A,FALSE,"balance";#N/A,#N/A,FALSE,"PYG"}</definedName>
    <definedName name="_____PyG33" localSheetId="2" hidden="1">{#N/A,#N/A,FALSE,"balance";#N/A,#N/A,FALSE,"PYG"}</definedName>
    <definedName name="_____PyG33" hidden="1">{#N/A,#N/A,FALSE,"balance";#N/A,#N/A,FALSE,"PYG"}</definedName>
    <definedName name="_____PYG4" hidden="1">{#N/A,#N/A,FALSE,"balance";#N/A,#N/A,FALSE,"PYG"}</definedName>
    <definedName name="_____R" hidden="1">{#N/A,#N/A,FALSE,"GRAFICO";#N/A,#N/A,FALSE,"CAJA (2)";#N/A,#N/A,FALSE,"TERCEROS-PROMEDIO";#N/A,#N/A,FALSE,"CAJA";#N/A,#N/A,FALSE,"INGRESOS1995-2003";#N/A,#N/A,FALSE,"GASTOS1995-2003"}</definedName>
    <definedName name="____GGF2" localSheetId="6" hidden="1">{#N/A,#N/A,FALSE,"balance";#N/A,#N/A,FALSE,"PYG"}</definedName>
    <definedName name="____GGF2" localSheetId="1" hidden="1">{#N/A,#N/A,FALSE,"balance";#N/A,#N/A,FALSE,"PYG"}</definedName>
    <definedName name="____GGF2" localSheetId="4" hidden="1">{#N/A,#N/A,FALSE,"balance";#N/A,#N/A,FALSE,"PYG"}</definedName>
    <definedName name="____GGF2" localSheetId="0" hidden="1">{#N/A,#N/A,FALSE,"balance";#N/A,#N/A,FALSE,"PYG"}</definedName>
    <definedName name="____GGF2" localSheetId="3" hidden="1">{#N/A,#N/A,FALSE,"balance";#N/A,#N/A,FALSE,"PYG"}</definedName>
    <definedName name="____GGF2" localSheetId="2" hidden="1">{#N/A,#N/A,FALSE,"balance";#N/A,#N/A,FALSE,"PYG"}</definedName>
    <definedName name="____GGF2" localSheetId="5" hidden="1">{#N/A,#N/A,FALSE,"balance";#N/A,#N/A,FALSE,"PYG"}</definedName>
    <definedName name="____GGF2" localSheetId="7" hidden="1">{#N/A,#N/A,FALSE,"balance";#N/A,#N/A,FALSE,"PYG"}</definedName>
    <definedName name="____GGF2" hidden="1">{#N/A,#N/A,FALSE,"balance";#N/A,#N/A,FALSE,"PYG"}</definedName>
    <definedName name="____new1" hidden="1">{#N/A,#N/A,FALSE,"SMT1";#N/A,#N/A,FALSE,"SMT2";#N/A,#N/A,FALSE,"Summary";#N/A,#N/A,FALSE,"Graphs";#N/A,#N/A,FALSE,"4 Panel"}</definedName>
    <definedName name="____New15" hidden="1">{"EVA",#N/A,FALSE,"SMT2";#N/A,#N/A,FALSE,"Summary";#N/A,#N/A,FALSE,"Graphs";#N/A,#N/A,FALSE,"4 Panel"}</definedName>
    <definedName name="____New16" hidden="1">{#N/A,#N/A,FALSE,"SMT1";#N/A,#N/A,FALSE,"SMT2";#N/A,#N/A,FALSE,"Summary";#N/A,#N/A,FALSE,"Graphs";#N/A,#N/A,FALSE,"4 Panel"}</definedName>
    <definedName name="____New17" hidden="1">{#N/A,#N/A,FALSE,"SMT1";#N/A,#N/A,FALSE,"SMT2";#N/A,#N/A,FALSE,"Summary";#N/A,#N/A,FALSE,"Graphs";#N/A,#N/A,FALSE,"4 Panel"}</definedName>
    <definedName name="____New18" hidden="1">{#N/A,#N/A,FALSE,"Full";#N/A,#N/A,FALSE,"Half";#N/A,#N/A,FALSE,"Op Expenses";#N/A,#N/A,FALSE,"Cap Charge";#N/A,#N/A,FALSE,"Cost C";#N/A,#N/A,FALSE,"PP&amp;E";#N/A,#N/A,FALSE,"R&amp;D"}</definedName>
    <definedName name="____New19" hidden="1">{"EVA",#N/A,FALSE,"SMT2";#N/A,#N/A,FALSE,"Summary";#N/A,#N/A,FALSE,"Graphs";#N/A,#N/A,FALSE,"4 Panel"}</definedName>
    <definedName name="____New20" hidden="1">{#N/A,#N/A,FALSE,"SMT1";#N/A,#N/A,FALSE,"SMT2";#N/A,#N/A,FALSE,"Summary";#N/A,#N/A,FALSE,"Graphs";#N/A,#N/A,FALSE,"4 Panel"}</definedName>
    <definedName name="____New21" hidden="1">{#N/A,#N/A,FALSE,"Full";#N/A,#N/A,FALSE,"Half";#N/A,#N/A,FALSE,"Op Expenses";#N/A,#N/A,FALSE,"Cap Charge";#N/A,#N/A,FALSE,"Cost C";#N/A,#N/A,FALSE,"PP&amp;E";#N/A,#N/A,FALSE,"R&amp;D"}</definedName>
    <definedName name="____NEW3" hidden="1">{#N/A,#N/A,FALSE,"SMT1";#N/A,#N/A,FALSE,"SMT2";#N/A,#N/A,FALSE,"Summary";#N/A,#N/A,FALSE,"Graphs";#N/A,#N/A,FALSE,"4 Panel"}</definedName>
    <definedName name="____nEW30" hidden="1">{"EVA",#N/A,FALSE,"SMT2";#N/A,#N/A,FALSE,"Summary";#N/A,#N/A,FALSE,"Graphs";#N/A,#N/A,FALSE,"4 Panel"}</definedName>
    <definedName name="____New31" hidden="1">{#N/A,#N/A,FALSE,"SMT1";#N/A,#N/A,FALSE,"SMT2";#N/A,#N/A,FALSE,"Summary";#N/A,#N/A,FALSE,"Graphs";#N/A,#N/A,FALSE,"4 Panel"}</definedName>
    <definedName name="____New32" hidden="1">{#N/A,#N/A,FALSE,"SMT1";#N/A,#N/A,FALSE,"SMT2";#N/A,#N/A,FALSE,"Summary";#N/A,#N/A,FALSE,"Graphs";#N/A,#N/A,FALSE,"4 Panel"}</definedName>
    <definedName name="____New33" hidden="1">{#N/A,#N/A,FALSE,"Full";#N/A,#N/A,FALSE,"Half";#N/A,#N/A,FALSE,"Op Expenses";#N/A,#N/A,FALSE,"Cap Charge";#N/A,#N/A,FALSE,"Cost C";#N/A,#N/A,FALSE,"PP&amp;E";#N/A,#N/A,FALSE,"R&amp;D"}</definedName>
    <definedName name="____New34" hidden="1">{"EVA",#N/A,FALSE,"SMT2";#N/A,#N/A,FALSE,"Summary";#N/A,#N/A,FALSE,"Graphs";#N/A,#N/A,FALSE,"4 Panel"}</definedName>
    <definedName name="____New35" hidden="1">{#N/A,#N/A,FALSE,"SMT1";#N/A,#N/A,FALSE,"SMT2";#N/A,#N/A,FALSE,"Summary";#N/A,#N/A,FALSE,"Graphs";#N/A,#N/A,FALSE,"4 Panel"}</definedName>
    <definedName name="____New36" hidden="1">{#N/A,#N/A,FALSE,"Full";#N/A,#N/A,FALSE,"Half";#N/A,#N/A,FALSE,"Op Expenses";#N/A,#N/A,FALSE,"Cap Charge";#N/A,#N/A,FALSE,"Cost C";#N/A,#N/A,FALSE,"PP&amp;E";#N/A,#N/A,FALSE,"R&amp;D"}</definedName>
    <definedName name="____NEW4" hidden="1">{#N/A,#N/A,FALSE,"Full";#N/A,#N/A,FALSE,"Half";#N/A,#N/A,FALSE,"Op Expenses";#N/A,#N/A,FALSE,"Cap Charge";#N/A,#N/A,FALSE,"Cost C";#N/A,#N/A,FALSE,"PP&amp;E";#N/A,#N/A,FALSE,"R&amp;D"}</definedName>
    <definedName name="____OCT2" localSheetId="6" hidden="1">{#N/A,#N/A,FALSE,"BL&amp;GPA";#N/A,#N/A,FALSE,"Summary";#N/A,#N/A,FALSE,"hts"}</definedName>
    <definedName name="____OCT2" localSheetId="1" hidden="1">{#N/A,#N/A,FALSE,"BL&amp;GPA";#N/A,#N/A,FALSE,"Summary";#N/A,#N/A,FALSE,"hts"}</definedName>
    <definedName name="____OCT2" localSheetId="4" hidden="1">{#N/A,#N/A,FALSE,"BL&amp;GPA";#N/A,#N/A,FALSE,"Summary";#N/A,#N/A,FALSE,"hts"}</definedName>
    <definedName name="____OCT2" localSheetId="0" hidden="1">{#N/A,#N/A,FALSE,"BL&amp;GPA";#N/A,#N/A,FALSE,"Summary";#N/A,#N/A,FALSE,"hts"}</definedName>
    <definedName name="____OCT2" localSheetId="3" hidden="1">{#N/A,#N/A,FALSE,"BL&amp;GPA";#N/A,#N/A,FALSE,"Summary";#N/A,#N/A,FALSE,"hts"}</definedName>
    <definedName name="____OCT2" localSheetId="2" hidden="1">{#N/A,#N/A,FALSE,"BL&amp;GPA";#N/A,#N/A,FALSE,"Summary";#N/A,#N/A,FALSE,"hts"}</definedName>
    <definedName name="____OCT2" localSheetId="5" hidden="1">{#N/A,#N/A,FALSE,"BL&amp;GPA";#N/A,#N/A,FALSE,"Summary";#N/A,#N/A,FALSE,"hts"}</definedName>
    <definedName name="____OCT2" localSheetId="7" hidden="1">{#N/A,#N/A,FALSE,"BL&amp;GPA";#N/A,#N/A,FALSE,"Summary";#N/A,#N/A,FALSE,"hts"}</definedName>
    <definedName name="____OCT2" hidden="1">{#N/A,#N/A,FALSE,"BL&amp;GPA";#N/A,#N/A,FALSE,"Summary";#N/A,#N/A,FALSE,"hts"}</definedName>
    <definedName name="____ok1" localSheetId="6" hidden="1">{#N/A,#N/A,FALSE,"balance";#N/A,#N/A,FALSE,"PYG"}</definedName>
    <definedName name="____ok1" localSheetId="1" hidden="1">{#N/A,#N/A,FALSE,"balance";#N/A,#N/A,FALSE,"PYG"}</definedName>
    <definedName name="____ok1" localSheetId="4" hidden="1">{#N/A,#N/A,FALSE,"balance";#N/A,#N/A,FALSE,"PYG"}</definedName>
    <definedName name="____ok1" localSheetId="0" hidden="1">{#N/A,#N/A,FALSE,"balance";#N/A,#N/A,FALSE,"PYG"}</definedName>
    <definedName name="____ok1" localSheetId="3" hidden="1">{#N/A,#N/A,FALSE,"balance";#N/A,#N/A,FALSE,"PYG"}</definedName>
    <definedName name="____ok1" localSheetId="2" hidden="1">{#N/A,#N/A,FALSE,"balance";#N/A,#N/A,FALSE,"PYG"}</definedName>
    <definedName name="____ok1" localSheetId="5" hidden="1">{#N/A,#N/A,FALSE,"balance";#N/A,#N/A,FALSE,"PYG"}</definedName>
    <definedName name="____ok1" localSheetId="7" hidden="1">{#N/A,#N/A,FALSE,"balance";#N/A,#N/A,FALSE,"PYG"}</definedName>
    <definedName name="____ok1" hidden="1">{#N/A,#N/A,FALSE,"balance";#N/A,#N/A,FALSE,"PYG"}</definedName>
    <definedName name="____Ok2" localSheetId="6" hidden="1">{#N/A,#N/A,FALSE,"balance";#N/A,#N/A,FALSE,"PYG"}</definedName>
    <definedName name="____Ok2" localSheetId="1" hidden="1">{#N/A,#N/A,FALSE,"balance";#N/A,#N/A,FALSE,"PYG"}</definedName>
    <definedName name="____Ok2" localSheetId="4" hidden="1">{#N/A,#N/A,FALSE,"balance";#N/A,#N/A,FALSE,"PYG"}</definedName>
    <definedName name="____Ok2" localSheetId="0" hidden="1">{#N/A,#N/A,FALSE,"balance";#N/A,#N/A,FALSE,"PYG"}</definedName>
    <definedName name="____Ok2" localSheetId="3" hidden="1">{#N/A,#N/A,FALSE,"balance";#N/A,#N/A,FALSE,"PYG"}</definedName>
    <definedName name="____Ok2" localSheetId="2" hidden="1">{#N/A,#N/A,FALSE,"balance";#N/A,#N/A,FALSE,"PYG"}</definedName>
    <definedName name="____Ok2" localSheetId="5" hidden="1">{#N/A,#N/A,FALSE,"balance";#N/A,#N/A,FALSE,"PYG"}</definedName>
    <definedName name="____Ok2" localSheetId="7" hidden="1">{#N/A,#N/A,FALSE,"balance";#N/A,#N/A,FALSE,"PYG"}</definedName>
    <definedName name="____Ok2" hidden="1">{#N/A,#N/A,FALSE,"balance";#N/A,#N/A,FALSE,"PYG"}</definedName>
    <definedName name="____PyG2" localSheetId="6" hidden="1">{#N/A,#N/A,FALSE,"balance";#N/A,#N/A,FALSE,"PYG"}</definedName>
    <definedName name="____PyG2" localSheetId="1" hidden="1">{#N/A,#N/A,FALSE,"balance";#N/A,#N/A,FALSE,"PYG"}</definedName>
    <definedName name="____PyG2" localSheetId="4" hidden="1">{#N/A,#N/A,FALSE,"balance";#N/A,#N/A,FALSE,"PYG"}</definedName>
    <definedName name="____PyG2" localSheetId="0" hidden="1">{#N/A,#N/A,FALSE,"balance";#N/A,#N/A,FALSE,"PYG"}</definedName>
    <definedName name="____PyG2" localSheetId="3" hidden="1">{#N/A,#N/A,FALSE,"balance";#N/A,#N/A,FALSE,"PYG"}</definedName>
    <definedName name="____PyG2" localSheetId="2" hidden="1">{#N/A,#N/A,FALSE,"balance";#N/A,#N/A,FALSE,"PYG"}</definedName>
    <definedName name="____PyG2" localSheetId="5" hidden="1">{#N/A,#N/A,FALSE,"balance";#N/A,#N/A,FALSE,"PYG"}</definedName>
    <definedName name="____PyG2" localSheetId="7" hidden="1">{#N/A,#N/A,FALSE,"balance";#N/A,#N/A,FALSE,"PYG"}</definedName>
    <definedName name="____PyG2" hidden="1">{#N/A,#N/A,FALSE,"balance";#N/A,#N/A,FALSE,"PYG"}</definedName>
    <definedName name="____PYG3" localSheetId="6" hidden="1">{#N/A,#N/A,FALSE,"balance";#N/A,#N/A,FALSE,"PYG"}</definedName>
    <definedName name="____PYG3" localSheetId="1" hidden="1">{#N/A,#N/A,FALSE,"balance";#N/A,#N/A,FALSE,"PYG"}</definedName>
    <definedName name="____PYG3" localSheetId="4" hidden="1">{#N/A,#N/A,FALSE,"balance";#N/A,#N/A,FALSE,"PYG"}</definedName>
    <definedName name="____PYG3" localSheetId="0" hidden="1">{#N/A,#N/A,FALSE,"balance";#N/A,#N/A,FALSE,"PYG"}</definedName>
    <definedName name="____PYG3" localSheetId="3" hidden="1">{#N/A,#N/A,FALSE,"balance";#N/A,#N/A,FALSE,"PYG"}</definedName>
    <definedName name="____PYG3" localSheetId="2" hidden="1">{#N/A,#N/A,FALSE,"balance";#N/A,#N/A,FALSE,"PYG"}</definedName>
    <definedName name="____PYG3" localSheetId="5" hidden="1">{#N/A,#N/A,FALSE,"balance";#N/A,#N/A,FALSE,"PYG"}</definedName>
    <definedName name="____PYG3" localSheetId="7" hidden="1">{#N/A,#N/A,FALSE,"balance";#N/A,#N/A,FALSE,"PYG"}</definedName>
    <definedName name="____PYG3" hidden="1">{#N/A,#N/A,FALSE,"balance";#N/A,#N/A,FALSE,"PYG"}</definedName>
    <definedName name="____PyG33" localSheetId="6" hidden="1">{#N/A,#N/A,FALSE,"balance";#N/A,#N/A,FALSE,"PYG"}</definedName>
    <definedName name="____PyG33" localSheetId="1" hidden="1">{#N/A,#N/A,FALSE,"balance";#N/A,#N/A,FALSE,"PYG"}</definedName>
    <definedName name="____PyG33" localSheetId="4" hidden="1">{#N/A,#N/A,FALSE,"balance";#N/A,#N/A,FALSE,"PYG"}</definedName>
    <definedName name="____PyG33" localSheetId="0" hidden="1">{#N/A,#N/A,FALSE,"balance";#N/A,#N/A,FALSE,"PYG"}</definedName>
    <definedName name="____PyG33" localSheetId="3" hidden="1">{#N/A,#N/A,FALSE,"balance";#N/A,#N/A,FALSE,"PYG"}</definedName>
    <definedName name="____PyG33" localSheetId="2" hidden="1">{#N/A,#N/A,FALSE,"balance";#N/A,#N/A,FALSE,"PYG"}</definedName>
    <definedName name="____PyG33" localSheetId="5" hidden="1">{#N/A,#N/A,FALSE,"balance";#N/A,#N/A,FALSE,"PYG"}</definedName>
    <definedName name="____PyG33" localSheetId="7" hidden="1">{#N/A,#N/A,FALSE,"balance";#N/A,#N/A,FALSE,"PYG"}</definedName>
    <definedName name="____PyG33" hidden="1">{#N/A,#N/A,FALSE,"balance";#N/A,#N/A,FALSE,"PYG"}</definedName>
    <definedName name="____PYG4" hidden="1">{#N/A,#N/A,FALSE,"balance";#N/A,#N/A,FALSE,"PYG"}</definedName>
    <definedName name="____R" localSheetId="4" hidden="1">{#N/A,#N/A,FALSE,"GRAFICO";#N/A,#N/A,FALSE,"CAJA (2)";#N/A,#N/A,FALSE,"TERCEROS-PROMEDIO";#N/A,#N/A,FALSE,"CAJA";#N/A,#N/A,FALSE,"INGRESOS1995-2003";#N/A,#N/A,FALSE,"GASTOS1995-2003"}</definedName>
    <definedName name="____R" localSheetId="3" hidden="1">{#N/A,#N/A,FALSE,"GRAFICO";#N/A,#N/A,FALSE,"CAJA (2)";#N/A,#N/A,FALSE,"TERCEROS-PROMEDIO";#N/A,#N/A,FALSE,"CAJA";#N/A,#N/A,FALSE,"INGRESOS1995-2003";#N/A,#N/A,FALSE,"GASTOS1995-2003"}</definedName>
    <definedName name="____R" localSheetId="2" hidden="1">{#N/A,#N/A,FALSE,"GRAFICO";#N/A,#N/A,FALSE,"CAJA (2)";#N/A,#N/A,FALSE,"TERCEROS-PROMEDIO";#N/A,#N/A,FALSE,"CAJA";#N/A,#N/A,FALSE,"INGRESOS1995-2003";#N/A,#N/A,FALSE,"GASTOS1995-2003"}</definedName>
    <definedName name="____R" hidden="1">{#N/A,#N/A,FALSE,"GRAFICO";#N/A,#N/A,FALSE,"CAJA (2)";#N/A,#N/A,FALSE,"TERCEROS-PROMEDIO";#N/A,#N/A,FALSE,"CAJA";#N/A,#N/A,FALSE,"INGRESOS1995-2003";#N/A,#N/A,FALSE,"GASTOS1995-2003"}</definedName>
    <definedName name="___GGF2" localSheetId="6" hidden="1">{#N/A,#N/A,FALSE,"balance";#N/A,#N/A,FALSE,"PYG"}</definedName>
    <definedName name="___GGF2" localSheetId="1" hidden="1">{#N/A,#N/A,FALSE,"balance";#N/A,#N/A,FALSE,"PYG"}</definedName>
    <definedName name="___GGF2" localSheetId="4" hidden="1">{#N/A,#N/A,FALSE,"balance";#N/A,#N/A,FALSE,"PYG"}</definedName>
    <definedName name="___GGF2" localSheetId="0" hidden="1">{#N/A,#N/A,FALSE,"balance";#N/A,#N/A,FALSE,"PYG"}</definedName>
    <definedName name="___GGF2" localSheetId="3" hidden="1">{#N/A,#N/A,FALSE,"balance";#N/A,#N/A,FALSE,"PYG"}</definedName>
    <definedName name="___GGF2" localSheetId="2" hidden="1">{#N/A,#N/A,FALSE,"balance";#N/A,#N/A,FALSE,"PYG"}</definedName>
    <definedName name="___GGF2" localSheetId="5" hidden="1">{#N/A,#N/A,FALSE,"balance";#N/A,#N/A,FALSE,"PYG"}</definedName>
    <definedName name="___GGF2" localSheetId="7" hidden="1">{#N/A,#N/A,FALSE,"balance";#N/A,#N/A,FALSE,"PYG"}</definedName>
    <definedName name="___GGF2" hidden="1">{#N/A,#N/A,FALSE,"balance";#N/A,#N/A,FALSE,"PYG"}</definedName>
    <definedName name="___new1" hidden="1">{#N/A,#N/A,FALSE,"SMT1";#N/A,#N/A,FALSE,"SMT2";#N/A,#N/A,FALSE,"Summary";#N/A,#N/A,FALSE,"Graphs";#N/A,#N/A,FALSE,"4 Panel"}</definedName>
    <definedName name="___New15" hidden="1">{"EVA",#N/A,FALSE,"SMT2";#N/A,#N/A,FALSE,"Summary";#N/A,#N/A,FALSE,"Graphs";#N/A,#N/A,FALSE,"4 Panel"}</definedName>
    <definedName name="___New16" hidden="1">{#N/A,#N/A,FALSE,"SMT1";#N/A,#N/A,FALSE,"SMT2";#N/A,#N/A,FALSE,"Summary";#N/A,#N/A,FALSE,"Graphs";#N/A,#N/A,FALSE,"4 Panel"}</definedName>
    <definedName name="___New17" hidden="1">{#N/A,#N/A,FALSE,"SMT1";#N/A,#N/A,FALSE,"SMT2";#N/A,#N/A,FALSE,"Summary";#N/A,#N/A,FALSE,"Graphs";#N/A,#N/A,FALSE,"4 Panel"}</definedName>
    <definedName name="___New18" hidden="1">{#N/A,#N/A,FALSE,"Full";#N/A,#N/A,FALSE,"Half";#N/A,#N/A,FALSE,"Op Expenses";#N/A,#N/A,FALSE,"Cap Charge";#N/A,#N/A,FALSE,"Cost C";#N/A,#N/A,FALSE,"PP&amp;E";#N/A,#N/A,FALSE,"R&amp;D"}</definedName>
    <definedName name="___New19" hidden="1">{"EVA",#N/A,FALSE,"SMT2";#N/A,#N/A,FALSE,"Summary";#N/A,#N/A,FALSE,"Graphs";#N/A,#N/A,FALSE,"4 Panel"}</definedName>
    <definedName name="___New20" hidden="1">{#N/A,#N/A,FALSE,"SMT1";#N/A,#N/A,FALSE,"SMT2";#N/A,#N/A,FALSE,"Summary";#N/A,#N/A,FALSE,"Graphs";#N/A,#N/A,FALSE,"4 Panel"}</definedName>
    <definedName name="___New21" hidden="1">{#N/A,#N/A,FALSE,"Full";#N/A,#N/A,FALSE,"Half";#N/A,#N/A,FALSE,"Op Expenses";#N/A,#N/A,FALSE,"Cap Charge";#N/A,#N/A,FALSE,"Cost C";#N/A,#N/A,FALSE,"PP&amp;E";#N/A,#N/A,FALSE,"R&amp;D"}</definedName>
    <definedName name="___NEW3" hidden="1">{#N/A,#N/A,FALSE,"SMT1";#N/A,#N/A,FALSE,"SMT2";#N/A,#N/A,FALSE,"Summary";#N/A,#N/A,FALSE,"Graphs";#N/A,#N/A,FALSE,"4 Panel"}</definedName>
    <definedName name="___nEW30" hidden="1">{"EVA",#N/A,FALSE,"SMT2";#N/A,#N/A,FALSE,"Summary";#N/A,#N/A,FALSE,"Graphs";#N/A,#N/A,FALSE,"4 Panel"}</definedName>
    <definedName name="___New31" hidden="1">{#N/A,#N/A,FALSE,"SMT1";#N/A,#N/A,FALSE,"SMT2";#N/A,#N/A,FALSE,"Summary";#N/A,#N/A,FALSE,"Graphs";#N/A,#N/A,FALSE,"4 Panel"}</definedName>
    <definedName name="___New32" hidden="1">{#N/A,#N/A,FALSE,"SMT1";#N/A,#N/A,FALSE,"SMT2";#N/A,#N/A,FALSE,"Summary";#N/A,#N/A,FALSE,"Graphs";#N/A,#N/A,FALSE,"4 Panel"}</definedName>
    <definedName name="___New33" hidden="1">{#N/A,#N/A,FALSE,"Full";#N/A,#N/A,FALSE,"Half";#N/A,#N/A,FALSE,"Op Expenses";#N/A,#N/A,FALSE,"Cap Charge";#N/A,#N/A,FALSE,"Cost C";#N/A,#N/A,FALSE,"PP&amp;E";#N/A,#N/A,FALSE,"R&amp;D"}</definedName>
    <definedName name="___New34" hidden="1">{"EVA",#N/A,FALSE,"SMT2";#N/A,#N/A,FALSE,"Summary";#N/A,#N/A,FALSE,"Graphs";#N/A,#N/A,FALSE,"4 Panel"}</definedName>
    <definedName name="___New35" hidden="1">{#N/A,#N/A,FALSE,"SMT1";#N/A,#N/A,FALSE,"SMT2";#N/A,#N/A,FALSE,"Summary";#N/A,#N/A,FALSE,"Graphs";#N/A,#N/A,FALSE,"4 Panel"}</definedName>
    <definedName name="___New36" hidden="1">{#N/A,#N/A,FALSE,"Full";#N/A,#N/A,FALSE,"Half";#N/A,#N/A,FALSE,"Op Expenses";#N/A,#N/A,FALSE,"Cap Charge";#N/A,#N/A,FALSE,"Cost C";#N/A,#N/A,FALSE,"PP&amp;E";#N/A,#N/A,FALSE,"R&amp;D"}</definedName>
    <definedName name="___NEW4" hidden="1">{#N/A,#N/A,FALSE,"Full";#N/A,#N/A,FALSE,"Half";#N/A,#N/A,FALSE,"Op Expenses";#N/A,#N/A,FALSE,"Cap Charge";#N/A,#N/A,FALSE,"Cost C";#N/A,#N/A,FALSE,"PP&amp;E";#N/A,#N/A,FALSE,"R&amp;D"}</definedName>
    <definedName name="___OCT2" localSheetId="6" hidden="1">{#N/A,#N/A,FALSE,"BL&amp;GPA";#N/A,#N/A,FALSE,"Summary";#N/A,#N/A,FALSE,"hts"}</definedName>
    <definedName name="___OCT2" localSheetId="1" hidden="1">{#N/A,#N/A,FALSE,"BL&amp;GPA";#N/A,#N/A,FALSE,"Summary";#N/A,#N/A,FALSE,"hts"}</definedName>
    <definedName name="___OCT2" localSheetId="4" hidden="1">{#N/A,#N/A,FALSE,"BL&amp;GPA";#N/A,#N/A,FALSE,"Summary";#N/A,#N/A,FALSE,"hts"}</definedName>
    <definedName name="___OCT2" localSheetId="0" hidden="1">{#N/A,#N/A,FALSE,"BL&amp;GPA";#N/A,#N/A,FALSE,"Summary";#N/A,#N/A,FALSE,"hts"}</definedName>
    <definedName name="___OCT2" localSheetId="3" hidden="1">{#N/A,#N/A,FALSE,"BL&amp;GPA";#N/A,#N/A,FALSE,"Summary";#N/A,#N/A,FALSE,"hts"}</definedName>
    <definedName name="___OCT2" localSheetId="2" hidden="1">{#N/A,#N/A,FALSE,"BL&amp;GPA";#N/A,#N/A,FALSE,"Summary";#N/A,#N/A,FALSE,"hts"}</definedName>
    <definedName name="___OCT2" localSheetId="5" hidden="1">{#N/A,#N/A,FALSE,"BL&amp;GPA";#N/A,#N/A,FALSE,"Summary";#N/A,#N/A,FALSE,"hts"}</definedName>
    <definedName name="___OCT2" localSheetId="7" hidden="1">{#N/A,#N/A,FALSE,"BL&amp;GPA";#N/A,#N/A,FALSE,"Summary";#N/A,#N/A,FALSE,"hts"}</definedName>
    <definedName name="___OCT2" hidden="1">{#N/A,#N/A,FALSE,"BL&amp;GPA";#N/A,#N/A,FALSE,"Summary";#N/A,#N/A,FALSE,"hts"}</definedName>
    <definedName name="___ok1" localSheetId="6" hidden="1">{#N/A,#N/A,FALSE,"balance";#N/A,#N/A,FALSE,"PYG"}</definedName>
    <definedName name="___ok1" localSheetId="1" hidden="1">{#N/A,#N/A,FALSE,"balance";#N/A,#N/A,FALSE,"PYG"}</definedName>
    <definedName name="___ok1" localSheetId="4" hidden="1">{#N/A,#N/A,FALSE,"balance";#N/A,#N/A,FALSE,"PYG"}</definedName>
    <definedName name="___ok1" localSheetId="0" hidden="1">{#N/A,#N/A,FALSE,"balance";#N/A,#N/A,FALSE,"PYG"}</definedName>
    <definedName name="___ok1" localSheetId="3" hidden="1">{#N/A,#N/A,FALSE,"balance";#N/A,#N/A,FALSE,"PYG"}</definedName>
    <definedName name="___ok1" localSheetId="2" hidden="1">{#N/A,#N/A,FALSE,"balance";#N/A,#N/A,FALSE,"PYG"}</definedName>
    <definedName name="___ok1" localSheetId="5" hidden="1">{#N/A,#N/A,FALSE,"balance";#N/A,#N/A,FALSE,"PYG"}</definedName>
    <definedName name="___ok1" localSheetId="7" hidden="1">{#N/A,#N/A,FALSE,"balance";#N/A,#N/A,FALSE,"PYG"}</definedName>
    <definedName name="___ok1" hidden="1">{#N/A,#N/A,FALSE,"balance";#N/A,#N/A,FALSE,"PYG"}</definedName>
    <definedName name="___Ok2" localSheetId="6" hidden="1">{#N/A,#N/A,FALSE,"balance";#N/A,#N/A,FALSE,"PYG"}</definedName>
    <definedName name="___Ok2" localSheetId="1" hidden="1">{#N/A,#N/A,FALSE,"balance";#N/A,#N/A,FALSE,"PYG"}</definedName>
    <definedName name="___Ok2" localSheetId="4" hidden="1">{#N/A,#N/A,FALSE,"balance";#N/A,#N/A,FALSE,"PYG"}</definedName>
    <definedName name="___Ok2" localSheetId="0" hidden="1">{#N/A,#N/A,FALSE,"balance";#N/A,#N/A,FALSE,"PYG"}</definedName>
    <definedName name="___Ok2" localSheetId="3" hidden="1">{#N/A,#N/A,FALSE,"balance";#N/A,#N/A,FALSE,"PYG"}</definedName>
    <definedName name="___Ok2" localSheetId="2" hidden="1">{#N/A,#N/A,FALSE,"balance";#N/A,#N/A,FALSE,"PYG"}</definedName>
    <definedName name="___Ok2" localSheetId="5" hidden="1">{#N/A,#N/A,FALSE,"balance";#N/A,#N/A,FALSE,"PYG"}</definedName>
    <definedName name="___Ok2" localSheetId="7" hidden="1">{#N/A,#N/A,FALSE,"balance";#N/A,#N/A,FALSE,"PYG"}</definedName>
    <definedName name="___Ok2" hidden="1">{#N/A,#N/A,FALSE,"balance";#N/A,#N/A,FALSE,"PYG"}</definedName>
    <definedName name="___PyG2" localSheetId="6" hidden="1">{#N/A,#N/A,FALSE,"balance";#N/A,#N/A,FALSE,"PYG"}</definedName>
    <definedName name="___PyG2" localSheetId="1" hidden="1">{#N/A,#N/A,FALSE,"balance";#N/A,#N/A,FALSE,"PYG"}</definedName>
    <definedName name="___PyG2" localSheetId="4" hidden="1">{#N/A,#N/A,FALSE,"balance";#N/A,#N/A,FALSE,"PYG"}</definedName>
    <definedName name="___PyG2" localSheetId="0" hidden="1">{#N/A,#N/A,FALSE,"balance";#N/A,#N/A,FALSE,"PYG"}</definedName>
    <definedName name="___PyG2" localSheetId="3" hidden="1">{#N/A,#N/A,FALSE,"balance";#N/A,#N/A,FALSE,"PYG"}</definedName>
    <definedName name="___PyG2" localSheetId="2" hidden="1">{#N/A,#N/A,FALSE,"balance";#N/A,#N/A,FALSE,"PYG"}</definedName>
    <definedName name="___PyG2" localSheetId="5" hidden="1">{#N/A,#N/A,FALSE,"balance";#N/A,#N/A,FALSE,"PYG"}</definedName>
    <definedName name="___PyG2" localSheetId="7" hidden="1">{#N/A,#N/A,FALSE,"balance";#N/A,#N/A,FALSE,"PYG"}</definedName>
    <definedName name="___PyG2" hidden="1">{#N/A,#N/A,FALSE,"balance";#N/A,#N/A,FALSE,"PYG"}</definedName>
    <definedName name="___PYG3" localSheetId="6" hidden="1">{#N/A,#N/A,FALSE,"balance";#N/A,#N/A,FALSE,"PYG"}</definedName>
    <definedName name="___PYG3" localSheetId="1" hidden="1">{#N/A,#N/A,FALSE,"balance";#N/A,#N/A,FALSE,"PYG"}</definedName>
    <definedName name="___PYG3" localSheetId="4" hidden="1">{#N/A,#N/A,FALSE,"balance";#N/A,#N/A,FALSE,"PYG"}</definedName>
    <definedName name="___PYG3" localSheetId="0" hidden="1">{#N/A,#N/A,FALSE,"balance";#N/A,#N/A,FALSE,"PYG"}</definedName>
    <definedName name="___PYG3" localSheetId="3" hidden="1">{#N/A,#N/A,FALSE,"balance";#N/A,#N/A,FALSE,"PYG"}</definedName>
    <definedName name="___PYG3" localSheetId="2" hidden="1">{#N/A,#N/A,FALSE,"balance";#N/A,#N/A,FALSE,"PYG"}</definedName>
    <definedName name="___PYG3" localSheetId="5" hidden="1">{#N/A,#N/A,FALSE,"balance";#N/A,#N/A,FALSE,"PYG"}</definedName>
    <definedName name="___PYG3" localSheetId="7" hidden="1">{#N/A,#N/A,FALSE,"balance";#N/A,#N/A,FALSE,"PYG"}</definedName>
    <definedName name="___PYG3" hidden="1">{#N/A,#N/A,FALSE,"balance";#N/A,#N/A,FALSE,"PYG"}</definedName>
    <definedName name="___PyG33" localSheetId="6" hidden="1">{#N/A,#N/A,FALSE,"balance";#N/A,#N/A,FALSE,"PYG"}</definedName>
    <definedName name="___PyG33" localSheetId="1" hidden="1">{#N/A,#N/A,FALSE,"balance";#N/A,#N/A,FALSE,"PYG"}</definedName>
    <definedName name="___PyG33" localSheetId="4" hidden="1">{#N/A,#N/A,FALSE,"balance";#N/A,#N/A,FALSE,"PYG"}</definedName>
    <definedName name="___PyG33" localSheetId="0" hidden="1">{#N/A,#N/A,FALSE,"balance";#N/A,#N/A,FALSE,"PYG"}</definedName>
    <definedName name="___PyG33" localSheetId="3" hidden="1">{#N/A,#N/A,FALSE,"balance";#N/A,#N/A,FALSE,"PYG"}</definedName>
    <definedName name="___PyG33" localSheetId="2" hidden="1">{#N/A,#N/A,FALSE,"balance";#N/A,#N/A,FALSE,"PYG"}</definedName>
    <definedName name="___PyG33" localSheetId="5" hidden="1">{#N/A,#N/A,FALSE,"balance";#N/A,#N/A,FALSE,"PYG"}</definedName>
    <definedName name="___PyG33" localSheetId="7" hidden="1">{#N/A,#N/A,FALSE,"balance";#N/A,#N/A,FALSE,"PYG"}</definedName>
    <definedName name="___PyG33" hidden="1">{#N/A,#N/A,FALSE,"balance";#N/A,#N/A,FALSE,"PYG"}</definedName>
    <definedName name="___PYG4" hidden="1">{#N/A,#N/A,FALSE,"balance";#N/A,#N/A,FALSE,"PYG"}</definedName>
    <definedName name="___R" localSheetId="4" hidden="1">{#N/A,#N/A,FALSE,"GRAFICO";#N/A,#N/A,FALSE,"CAJA (2)";#N/A,#N/A,FALSE,"TERCEROS-PROMEDIO";#N/A,#N/A,FALSE,"CAJA";#N/A,#N/A,FALSE,"INGRESOS1995-2003";#N/A,#N/A,FALSE,"GASTOS1995-2003"}</definedName>
    <definedName name="___R" localSheetId="3" hidden="1">{#N/A,#N/A,FALSE,"GRAFICO";#N/A,#N/A,FALSE,"CAJA (2)";#N/A,#N/A,FALSE,"TERCEROS-PROMEDIO";#N/A,#N/A,FALSE,"CAJA";#N/A,#N/A,FALSE,"INGRESOS1995-2003";#N/A,#N/A,FALSE,"GASTOS1995-2003"}</definedName>
    <definedName name="___R" localSheetId="2" hidden="1">{#N/A,#N/A,FALSE,"GRAFICO";#N/A,#N/A,FALSE,"CAJA (2)";#N/A,#N/A,FALSE,"TERCEROS-PROMEDIO";#N/A,#N/A,FALSE,"CAJA";#N/A,#N/A,FALSE,"INGRESOS1995-2003";#N/A,#N/A,FALSE,"GASTOS1995-2003"}</definedName>
    <definedName name="___R" hidden="1">{#N/A,#N/A,FALSE,"GRAFICO";#N/A,#N/A,FALSE,"CAJA (2)";#N/A,#N/A,FALSE,"TERCEROS-PROMEDIO";#N/A,#N/A,FALSE,"CAJA";#N/A,#N/A,FALSE,"INGRESOS1995-2003";#N/A,#N/A,FALSE,"GASTOS1995-2003"}</definedName>
    <definedName name="__123Graph_A" hidden="1">[1]Assumptions!#REF!</definedName>
    <definedName name="__123Graph_ACAPTACIO" hidden="1">[2]COMPENSACIONES!#REF!</definedName>
    <definedName name="__123Graph_ACAPTUEN" hidden="1">[2]COMPENSACIONES!#REF!</definedName>
    <definedName name="__123Graph_AG1" hidden="1">[1]Assumptions!#REF!</definedName>
    <definedName name="__123Graph_AG2" hidden="1">[1]Assumptions!#REF!</definedName>
    <definedName name="__123Graph_AG3" hidden="1">[1]Assumptions!#REF!</definedName>
    <definedName name="__123Graph_AG4" hidden="1">[1]Assumptions!#REF!</definedName>
    <definedName name="__123Graph_AG5" hidden="1">[1]Assumptions!#REF!</definedName>
    <definedName name="__123Graph_AG6" hidden="1">[1]Assumptions!#REF!</definedName>
    <definedName name="__123Graph_B" hidden="1">[1]Assumptions!#REF!</definedName>
    <definedName name="__123Graph_BCAPTUEN" hidden="1">[2]COMPENSACIONES!#REF!</definedName>
    <definedName name="__123Graph_BG1" hidden="1">[1]Assumptions!#REF!</definedName>
    <definedName name="__123Graph_BG2" hidden="1">[1]Assumptions!#REF!</definedName>
    <definedName name="__123Graph_BG3" hidden="1">[1]Assumptions!#REF!</definedName>
    <definedName name="__123Graph_BG4" hidden="1">[1]Assumptions!#REF!</definedName>
    <definedName name="__123Graph_BG5" hidden="1">[1]Assumptions!#REF!</definedName>
    <definedName name="__123Graph_BG6" hidden="1">[1]Assumptions!#REF!</definedName>
    <definedName name="__123Graph_C" hidden="1">[1]Assumptions!#REF!</definedName>
    <definedName name="__123Graph_CCAPTUEN" hidden="1">[2]COMPENSACIONES!#REF!</definedName>
    <definedName name="__123Graph_CG1" hidden="1">[1]Assumptions!#REF!</definedName>
    <definedName name="__123Graph_CG2" hidden="1">[1]Assumptions!#REF!</definedName>
    <definedName name="__123Graph_CG3" hidden="1">[1]Assumptions!#REF!</definedName>
    <definedName name="__123Graph_CG6" hidden="1">[1]Assumptions!#REF!</definedName>
    <definedName name="__123Graph_DCAPTUEN" hidden="1">[2]COMPENSACIONES!#REF!</definedName>
    <definedName name="__123Graph_X" hidden="1">[1]Assumptions!#REF!</definedName>
    <definedName name="__123Graph_XCAPTACIO" hidden="1">[2]COMPENSACIONES!#REF!</definedName>
    <definedName name="__123Graph_XCAPTUEN" hidden="1">[2]COMPENSACIONES!#REF!</definedName>
    <definedName name="__123Graph_XG1" hidden="1">[1]Assumptions!#REF!</definedName>
    <definedName name="__123Graph_XG2" hidden="1">[1]Assumptions!#REF!</definedName>
    <definedName name="__123Graph_XG3" hidden="1">[1]Assumptions!#REF!</definedName>
    <definedName name="__123Graph_XG4" hidden="1">[1]Assumptions!#REF!</definedName>
    <definedName name="__123Graph_XG5" hidden="1">[1]Assumptions!#REF!</definedName>
    <definedName name="__123Graph_XG6" hidden="1">[1]Assumptions!#REF!</definedName>
    <definedName name="__FPMExcelClient_CellBasedFunctionStatus" localSheetId="6" hidden="1">"2_2_2_2_2"</definedName>
    <definedName name="__FPMExcelClient_CellBasedFunctionStatus" localSheetId="1" hidden="1">"2_2_2_2_2_2"</definedName>
    <definedName name="__FPMExcelClient_CellBasedFunctionStatus" localSheetId="4" hidden="1">"2_2_2_2_2_2"</definedName>
    <definedName name="__FPMExcelClient_CellBasedFunctionStatus" localSheetId="0" hidden="1">"2_2_2_2_2_2"</definedName>
    <definedName name="__FPMExcelClient_CellBasedFunctionStatus" localSheetId="3" hidden="1">"2_2_2_2_2_2"</definedName>
    <definedName name="__FPMExcelClient_CellBasedFunctionStatus" localSheetId="2" hidden="1">"2_2_2_2_2_2"</definedName>
    <definedName name="__FPMExcelClient_CellBasedFunctionStatus" localSheetId="5" hidden="1">"2_2_2_2_2_2"</definedName>
    <definedName name="__FPMExcelClient_CellBasedFunctionStatus" localSheetId="7" hidden="1">"2_2_2_2_2"</definedName>
    <definedName name="__GGF2" localSheetId="6" hidden="1">{#N/A,#N/A,FALSE,"balance";#N/A,#N/A,FALSE,"PYG"}</definedName>
    <definedName name="__GGF2" localSheetId="1" hidden="1">{#N/A,#N/A,FALSE,"balance";#N/A,#N/A,FALSE,"PYG"}</definedName>
    <definedName name="__GGF2" localSheetId="4" hidden="1">{#N/A,#N/A,FALSE,"balance";#N/A,#N/A,FALSE,"PYG"}</definedName>
    <definedName name="__GGF2" localSheetId="0" hidden="1">{#N/A,#N/A,FALSE,"balance";#N/A,#N/A,FALSE,"PYG"}</definedName>
    <definedName name="__GGF2" localSheetId="3" hidden="1">{#N/A,#N/A,FALSE,"balance";#N/A,#N/A,FALSE,"PYG"}</definedName>
    <definedName name="__GGF2" localSheetId="2" hidden="1">{#N/A,#N/A,FALSE,"balance";#N/A,#N/A,FALSE,"PYG"}</definedName>
    <definedName name="__GGF2" localSheetId="5" hidden="1">{#N/A,#N/A,FALSE,"balance";#N/A,#N/A,FALSE,"PYG"}</definedName>
    <definedName name="__GGF2" localSheetId="7" hidden="1">{#N/A,#N/A,FALSE,"balance";#N/A,#N/A,FALSE,"PYG"}</definedName>
    <definedName name="__GGF2" hidden="1">{#N/A,#N/A,FALSE,"balance";#N/A,#N/A,FALSE,"PYG"}</definedName>
    <definedName name="__new1" hidden="1">{#N/A,#N/A,FALSE,"SMT1";#N/A,#N/A,FALSE,"SMT2";#N/A,#N/A,FALSE,"Summary";#N/A,#N/A,FALSE,"Graphs";#N/A,#N/A,FALSE,"4 Panel"}</definedName>
    <definedName name="__New15" hidden="1">{"EVA",#N/A,FALSE,"SMT2";#N/A,#N/A,FALSE,"Summary";#N/A,#N/A,FALSE,"Graphs";#N/A,#N/A,FALSE,"4 Panel"}</definedName>
    <definedName name="__New16" hidden="1">{#N/A,#N/A,FALSE,"SMT1";#N/A,#N/A,FALSE,"SMT2";#N/A,#N/A,FALSE,"Summary";#N/A,#N/A,FALSE,"Graphs";#N/A,#N/A,FALSE,"4 Panel"}</definedName>
    <definedName name="__New17" hidden="1">{#N/A,#N/A,FALSE,"SMT1";#N/A,#N/A,FALSE,"SMT2";#N/A,#N/A,FALSE,"Summary";#N/A,#N/A,FALSE,"Graphs";#N/A,#N/A,FALSE,"4 Panel"}</definedName>
    <definedName name="__New18" hidden="1">{#N/A,#N/A,FALSE,"Full";#N/A,#N/A,FALSE,"Half";#N/A,#N/A,FALSE,"Op Expenses";#N/A,#N/A,FALSE,"Cap Charge";#N/A,#N/A,FALSE,"Cost C";#N/A,#N/A,FALSE,"PP&amp;E";#N/A,#N/A,FALSE,"R&amp;D"}</definedName>
    <definedName name="__New19" hidden="1">{"EVA",#N/A,FALSE,"SMT2";#N/A,#N/A,FALSE,"Summary";#N/A,#N/A,FALSE,"Graphs";#N/A,#N/A,FALSE,"4 Panel"}</definedName>
    <definedName name="__New20" hidden="1">{#N/A,#N/A,FALSE,"SMT1";#N/A,#N/A,FALSE,"SMT2";#N/A,#N/A,FALSE,"Summary";#N/A,#N/A,FALSE,"Graphs";#N/A,#N/A,FALSE,"4 Panel"}</definedName>
    <definedName name="__New21" hidden="1">{#N/A,#N/A,FALSE,"Full";#N/A,#N/A,FALSE,"Half";#N/A,#N/A,FALSE,"Op Expenses";#N/A,#N/A,FALSE,"Cap Charge";#N/A,#N/A,FALSE,"Cost C";#N/A,#N/A,FALSE,"PP&amp;E";#N/A,#N/A,FALSE,"R&amp;D"}</definedName>
    <definedName name="__NEW3" hidden="1">{#N/A,#N/A,FALSE,"SMT1";#N/A,#N/A,FALSE,"SMT2";#N/A,#N/A,FALSE,"Summary";#N/A,#N/A,FALSE,"Graphs";#N/A,#N/A,FALSE,"4 Panel"}</definedName>
    <definedName name="__nEW30" hidden="1">{"EVA",#N/A,FALSE,"SMT2";#N/A,#N/A,FALSE,"Summary";#N/A,#N/A,FALSE,"Graphs";#N/A,#N/A,FALSE,"4 Panel"}</definedName>
    <definedName name="__New31" hidden="1">{#N/A,#N/A,FALSE,"SMT1";#N/A,#N/A,FALSE,"SMT2";#N/A,#N/A,FALSE,"Summary";#N/A,#N/A,FALSE,"Graphs";#N/A,#N/A,FALSE,"4 Panel"}</definedName>
    <definedName name="__New32" hidden="1">{#N/A,#N/A,FALSE,"SMT1";#N/A,#N/A,FALSE,"SMT2";#N/A,#N/A,FALSE,"Summary";#N/A,#N/A,FALSE,"Graphs";#N/A,#N/A,FALSE,"4 Panel"}</definedName>
    <definedName name="__New33" hidden="1">{#N/A,#N/A,FALSE,"Full";#N/A,#N/A,FALSE,"Half";#N/A,#N/A,FALSE,"Op Expenses";#N/A,#N/A,FALSE,"Cap Charge";#N/A,#N/A,FALSE,"Cost C";#N/A,#N/A,FALSE,"PP&amp;E";#N/A,#N/A,FALSE,"R&amp;D"}</definedName>
    <definedName name="__New34" hidden="1">{"EVA",#N/A,FALSE,"SMT2";#N/A,#N/A,FALSE,"Summary";#N/A,#N/A,FALSE,"Graphs";#N/A,#N/A,FALSE,"4 Panel"}</definedName>
    <definedName name="__New35" hidden="1">{#N/A,#N/A,FALSE,"SMT1";#N/A,#N/A,FALSE,"SMT2";#N/A,#N/A,FALSE,"Summary";#N/A,#N/A,FALSE,"Graphs";#N/A,#N/A,FALSE,"4 Panel"}</definedName>
    <definedName name="__New36" hidden="1">{#N/A,#N/A,FALSE,"Full";#N/A,#N/A,FALSE,"Half";#N/A,#N/A,FALSE,"Op Expenses";#N/A,#N/A,FALSE,"Cap Charge";#N/A,#N/A,FALSE,"Cost C";#N/A,#N/A,FALSE,"PP&amp;E";#N/A,#N/A,FALSE,"R&amp;D"}</definedName>
    <definedName name="__NEW4" hidden="1">{#N/A,#N/A,FALSE,"Full";#N/A,#N/A,FALSE,"Half";#N/A,#N/A,FALSE,"Op Expenses";#N/A,#N/A,FALSE,"Cap Charge";#N/A,#N/A,FALSE,"Cost C";#N/A,#N/A,FALSE,"PP&amp;E";#N/A,#N/A,FALSE,"R&amp;D"}</definedName>
    <definedName name="__OCT2" localSheetId="6" hidden="1">{#N/A,#N/A,FALSE,"BL&amp;GPA";#N/A,#N/A,FALSE,"Summary";#N/A,#N/A,FALSE,"hts"}</definedName>
    <definedName name="__OCT2" localSheetId="1" hidden="1">{#N/A,#N/A,FALSE,"BL&amp;GPA";#N/A,#N/A,FALSE,"Summary";#N/A,#N/A,FALSE,"hts"}</definedName>
    <definedName name="__OCT2" localSheetId="4" hidden="1">{#N/A,#N/A,FALSE,"BL&amp;GPA";#N/A,#N/A,FALSE,"Summary";#N/A,#N/A,FALSE,"hts"}</definedName>
    <definedName name="__OCT2" localSheetId="0" hidden="1">{#N/A,#N/A,FALSE,"BL&amp;GPA";#N/A,#N/A,FALSE,"Summary";#N/A,#N/A,FALSE,"hts"}</definedName>
    <definedName name="__OCT2" localSheetId="3" hidden="1">{#N/A,#N/A,FALSE,"BL&amp;GPA";#N/A,#N/A,FALSE,"Summary";#N/A,#N/A,FALSE,"hts"}</definedName>
    <definedName name="__OCT2" localSheetId="2" hidden="1">{#N/A,#N/A,FALSE,"BL&amp;GPA";#N/A,#N/A,FALSE,"Summary";#N/A,#N/A,FALSE,"hts"}</definedName>
    <definedName name="__OCT2" localSheetId="5" hidden="1">{#N/A,#N/A,FALSE,"BL&amp;GPA";#N/A,#N/A,FALSE,"Summary";#N/A,#N/A,FALSE,"hts"}</definedName>
    <definedName name="__OCT2" localSheetId="7" hidden="1">{#N/A,#N/A,FALSE,"BL&amp;GPA";#N/A,#N/A,FALSE,"Summary";#N/A,#N/A,FALSE,"hts"}</definedName>
    <definedName name="__OCT2" hidden="1">{#N/A,#N/A,FALSE,"BL&amp;GPA";#N/A,#N/A,FALSE,"Summary";#N/A,#N/A,FALSE,"hts"}</definedName>
    <definedName name="__ok1" localSheetId="6" hidden="1">{#N/A,#N/A,FALSE,"balance";#N/A,#N/A,FALSE,"PYG"}</definedName>
    <definedName name="__ok1" localSheetId="1" hidden="1">{#N/A,#N/A,FALSE,"balance";#N/A,#N/A,FALSE,"PYG"}</definedName>
    <definedName name="__ok1" localSheetId="4" hidden="1">{#N/A,#N/A,FALSE,"balance";#N/A,#N/A,FALSE,"PYG"}</definedName>
    <definedName name="__ok1" localSheetId="0" hidden="1">{#N/A,#N/A,FALSE,"balance";#N/A,#N/A,FALSE,"PYG"}</definedName>
    <definedName name="__ok1" localSheetId="3" hidden="1">{#N/A,#N/A,FALSE,"balance";#N/A,#N/A,FALSE,"PYG"}</definedName>
    <definedName name="__ok1" localSheetId="2" hidden="1">{#N/A,#N/A,FALSE,"balance";#N/A,#N/A,FALSE,"PYG"}</definedName>
    <definedName name="__ok1" localSheetId="5" hidden="1">{#N/A,#N/A,FALSE,"balance";#N/A,#N/A,FALSE,"PYG"}</definedName>
    <definedName name="__ok1" localSheetId="7" hidden="1">{#N/A,#N/A,FALSE,"balance";#N/A,#N/A,FALSE,"PYG"}</definedName>
    <definedName name="__ok1" hidden="1">{#N/A,#N/A,FALSE,"balance";#N/A,#N/A,FALSE,"PYG"}</definedName>
    <definedName name="__Ok2" localSheetId="6" hidden="1">{#N/A,#N/A,FALSE,"balance";#N/A,#N/A,FALSE,"PYG"}</definedName>
    <definedName name="__Ok2" localSheetId="1" hidden="1">{#N/A,#N/A,FALSE,"balance";#N/A,#N/A,FALSE,"PYG"}</definedName>
    <definedName name="__Ok2" localSheetId="4" hidden="1">{#N/A,#N/A,FALSE,"balance";#N/A,#N/A,FALSE,"PYG"}</definedName>
    <definedName name="__Ok2" localSheetId="0" hidden="1">{#N/A,#N/A,FALSE,"balance";#N/A,#N/A,FALSE,"PYG"}</definedName>
    <definedName name="__Ok2" localSheetId="3" hidden="1">{#N/A,#N/A,FALSE,"balance";#N/A,#N/A,FALSE,"PYG"}</definedName>
    <definedName name="__Ok2" localSheetId="2" hidden="1">{#N/A,#N/A,FALSE,"balance";#N/A,#N/A,FALSE,"PYG"}</definedName>
    <definedName name="__Ok2" localSheetId="5" hidden="1">{#N/A,#N/A,FALSE,"balance";#N/A,#N/A,FALSE,"PYG"}</definedName>
    <definedName name="__Ok2" localSheetId="7" hidden="1">{#N/A,#N/A,FALSE,"balance";#N/A,#N/A,FALSE,"PYG"}</definedName>
    <definedName name="__Ok2" hidden="1">{#N/A,#N/A,FALSE,"balance";#N/A,#N/A,FALSE,"PYG"}</definedName>
    <definedName name="__PyG2" localSheetId="6" hidden="1">{#N/A,#N/A,FALSE,"balance";#N/A,#N/A,FALSE,"PYG"}</definedName>
    <definedName name="__PyG2" localSheetId="1" hidden="1">{#N/A,#N/A,FALSE,"balance";#N/A,#N/A,FALSE,"PYG"}</definedName>
    <definedName name="__PyG2" localSheetId="4" hidden="1">{#N/A,#N/A,FALSE,"balance";#N/A,#N/A,FALSE,"PYG"}</definedName>
    <definedName name="__PyG2" localSheetId="0" hidden="1">{#N/A,#N/A,FALSE,"balance";#N/A,#N/A,FALSE,"PYG"}</definedName>
    <definedName name="__PyG2" localSheetId="3" hidden="1">{#N/A,#N/A,FALSE,"balance";#N/A,#N/A,FALSE,"PYG"}</definedName>
    <definedName name="__PyG2" localSheetId="2" hidden="1">{#N/A,#N/A,FALSE,"balance";#N/A,#N/A,FALSE,"PYG"}</definedName>
    <definedName name="__PyG2" localSheetId="5" hidden="1">{#N/A,#N/A,FALSE,"balance";#N/A,#N/A,FALSE,"PYG"}</definedName>
    <definedName name="__PyG2" localSheetId="7" hidden="1">{#N/A,#N/A,FALSE,"balance";#N/A,#N/A,FALSE,"PYG"}</definedName>
    <definedName name="__PyG2" hidden="1">{#N/A,#N/A,FALSE,"balance";#N/A,#N/A,FALSE,"PYG"}</definedName>
    <definedName name="__PYG3" localSheetId="6" hidden="1">{#N/A,#N/A,FALSE,"balance";#N/A,#N/A,FALSE,"PYG"}</definedName>
    <definedName name="__PYG3" localSheetId="1" hidden="1">{#N/A,#N/A,FALSE,"balance";#N/A,#N/A,FALSE,"PYG"}</definedName>
    <definedName name="__PYG3" localSheetId="4" hidden="1">{#N/A,#N/A,FALSE,"balance";#N/A,#N/A,FALSE,"PYG"}</definedName>
    <definedName name="__PYG3" localSheetId="0" hidden="1">{#N/A,#N/A,FALSE,"balance";#N/A,#N/A,FALSE,"PYG"}</definedName>
    <definedName name="__PYG3" localSheetId="3" hidden="1">{#N/A,#N/A,FALSE,"balance";#N/A,#N/A,FALSE,"PYG"}</definedName>
    <definedName name="__PYG3" localSheetId="2" hidden="1">{#N/A,#N/A,FALSE,"balance";#N/A,#N/A,FALSE,"PYG"}</definedName>
    <definedName name="__PYG3" localSheetId="5" hidden="1">{#N/A,#N/A,FALSE,"balance";#N/A,#N/A,FALSE,"PYG"}</definedName>
    <definedName name="__PYG3" localSheetId="7" hidden="1">{#N/A,#N/A,FALSE,"balance";#N/A,#N/A,FALSE,"PYG"}</definedName>
    <definedName name="__PYG3" hidden="1">{#N/A,#N/A,FALSE,"balance";#N/A,#N/A,FALSE,"PYG"}</definedName>
    <definedName name="__PyG33" localSheetId="6" hidden="1">{#N/A,#N/A,FALSE,"balance";#N/A,#N/A,FALSE,"PYG"}</definedName>
    <definedName name="__PyG33" localSheetId="1" hidden="1">{#N/A,#N/A,FALSE,"balance";#N/A,#N/A,FALSE,"PYG"}</definedName>
    <definedName name="__PyG33" localSheetId="4" hidden="1">{#N/A,#N/A,FALSE,"balance";#N/A,#N/A,FALSE,"PYG"}</definedName>
    <definedName name="__PyG33" localSheetId="0" hidden="1">{#N/A,#N/A,FALSE,"balance";#N/A,#N/A,FALSE,"PYG"}</definedName>
    <definedName name="__PyG33" localSheetId="3" hidden="1">{#N/A,#N/A,FALSE,"balance";#N/A,#N/A,FALSE,"PYG"}</definedName>
    <definedName name="__PyG33" localSheetId="2" hidden="1">{#N/A,#N/A,FALSE,"balance";#N/A,#N/A,FALSE,"PYG"}</definedName>
    <definedName name="__PyG33" localSheetId="5" hidden="1">{#N/A,#N/A,FALSE,"balance";#N/A,#N/A,FALSE,"PYG"}</definedName>
    <definedName name="__PyG33" localSheetId="7" hidden="1">{#N/A,#N/A,FALSE,"balance";#N/A,#N/A,FALSE,"PYG"}</definedName>
    <definedName name="__PyG33" hidden="1">{#N/A,#N/A,FALSE,"balance";#N/A,#N/A,FALSE,"PYG"}</definedName>
    <definedName name="__PYG4" hidden="1">{#N/A,#N/A,FALSE,"balance";#N/A,#N/A,FALSE,"PYG"}</definedName>
    <definedName name="__R" localSheetId="4" hidden="1">{#N/A,#N/A,FALSE,"GRAFICO";#N/A,#N/A,FALSE,"CAJA (2)";#N/A,#N/A,FALSE,"TERCEROS-PROMEDIO";#N/A,#N/A,FALSE,"CAJA";#N/A,#N/A,FALSE,"INGRESOS1995-2003";#N/A,#N/A,FALSE,"GASTOS1995-2003"}</definedName>
    <definedName name="__R" localSheetId="3" hidden="1">{#N/A,#N/A,FALSE,"GRAFICO";#N/A,#N/A,FALSE,"CAJA (2)";#N/A,#N/A,FALSE,"TERCEROS-PROMEDIO";#N/A,#N/A,FALSE,"CAJA";#N/A,#N/A,FALSE,"INGRESOS1995-2003";#N/A,#N/A,FALSE,"GASTOS1995-2003"}</definedName>
    <definedName name="__R" localSheetId="2" hidden="1">{#N/A,#N/A,FALSE,"GRAFICO";#N/A,#N/A,FALSE,"CAJA (2)";#N/A,#N/A,FALSE,"TERCEROS-PROMEDIO";#N/A,#N/A,FALSE,"CAJA";#N/A,#N/A,FALSE,"INGRESOS1995-2003";#N/A,#N/A,FALSE,"GASTOS1995-2003"}</definedName>
    <definedName name="__R" hidden="1">{#N/A,#N/A,FALSE,"GRAFICO";#N/A,#N/A,FALSE,"CAJA (2)";#N/A,#N/A,FALSE,"TERCEROS-PROMEDIO";#N/A,#N/A,FALSE,"CAJA";#N/A,#N/A,FALSE,"INGRESOS1995-2003";#N/A,#N/A,FALSE,"GASTOS1995-2003"}</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512</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f" hidden="1">{#N/A,#N/A,FALSE,"GRAFICO";#N/A,#N/A,FALSE,"CAJA (2)";#N/A,#N/A,FALSE,"TERCEROS-PROMEDIO";#N/A,#N/A,FALSE,"CAJA";#N/A,#N/A,FALSE,"INGRESOS1995-2003";#N/A,#N/A,FALSE,"GASTOS1995-2003"}</definedName>
    <definedName name="_Fill" localSheetId="6" hidden="1">#REF!</definedName>
    <definedName name="_Fill" localSheetId="1" hidden="1">#REF!</definedName>
    <definedName name="_Fill" localSheetId="4" hidden="1">#REF!</definedName>
    <definedName name="_Fill" localSheetId="0" hidden="1">#REF!</definedName>
    <definedName name="_Fill" localSheetId="3" hidden="1">#REF!</definedName>
    <definedName name="_Fill" localSheetId="2" hidden="1">#REF!</definedName>
    <definedName name="_Fill" localSheetId="5" hidden="1">#REF!</definedName>
    <definedName name="_Fill" localSheetId="7" hidden="1">#REF!</definedName>
    <definedName name="_Fill" hidden="1">#REF!</definedName>
    <definedName name="_GGF2" localSheetId="6" hidden="1">{#N/A,#N/A,FALSE,"balance";#N/A,#N/A,FALSE,"PYG"}</definedName>
    <definedName name="_GGF2" localSheetId="1" hidden="1">{#N/A,#N/A,FALSE,"balance";#N/A,#N/A,FALSE,"PYG"}</definedName>
    <definedName name="_GGF2" localSheetId="4" hidden="1">{#N/A,#N/A,FALSE,"balance";#N/A,#N/A,FALSE,"PYG"}</definedName>
    <definedName name="_GGF2" localSheetId="0" hidden="1">{#N/A,#N/A,FALSE,"balance";#N/A,#N/A,FALSE,"PYG"}</definedName>
    <definedName name="_GGF2" localSheetId="3" hidden="1">{#N/A,#N/A,FALSE,"balance";#N/A,#N/A,FALSE,"PYG"}</definedName>
    <definedName name="_GGF2" localSheetId="2" hidden="1">{#N/A,#N/A,FALSE,"balance";#N/A,#N/A,FALSE,"PYG"}</definedName>
    <definedName name="_GGF2" localSheetId="5" hidden="1">{#N/A,#N/A,FALSE,"balance";#N/A,#N/A,FALSE,"PYG"}</definedName>
    <definedName name="_GGF2" localSheetId="7" hidden="1">{#N/A,#N/A,FALSE,"balance";#N/A,#N/A,FALSE,"PYG"}</definedName>
    <definedName name="_GGF2" hidden="1">{#N/A,#N/A,FALSE,"balance";#N/A,#N/A,FALSE,"PYG"}</definedName>
    <definedName name="_Key1" localSheetId="6" hidden="1">[3]INVERGPO!$AF$24:$AF$103</definedName>
    <definedName name="_Key1" localSheetId="5" hidden="1">[3]INVERGPO!$AF$24:$AF$103</definedName>
    <definedName name="_Key1" localSheetId="7" hidden="1">[3]INVERGPO!$AF$24:$AF$103</definedName>
    <definedName name="_Key1" hidden="1">[4]INVERGPO!$AF$24:$AF$103</definedName>
    <definedName name="_Key2" localSheetId="6" hidden="1">[3]INVERGPO!$AF$7:$AF$11</definedName>
    <definedName name="_Key2" localSheetId="5" hidden="1">[3]INVERGPO!$AF$7:$AF$11</definedName>
    <definedName name="_Key2" localSheetId="7" hidden="1">[3]INVERGPO!$AF$7:$AF$11</definedName>
    <definedName name="_Key2" hidden="1">[4]INVERGPO!$AF$7:$AF$11</definedName>
    <definedName name="_Key54" localSheetId="6" hidden="1">[3]INVERGPO!$AF$24:$AF$103</definedName>
    <definedName name="_Key54" localSheetId="5" hidden="1">[3]INVERGPO!$AF$24:$AF$103</definedName>
    <definedName name="_Key54" localSheetId="7" hidden="1">[3]INVERGPO!$AF$24:$AF$103</definedName>
    <definedName name="_Key54" hidden="1">[4]INVERGPO!$AF$24:$AF$103</definedName>
    <definedName name="_Key55" localSheetId="6" hidden="1">[3]INVERGPO!$AF$7:$AF$11</definedName>
    <definedName name="_Key55" localSheetId="5" hidden="1">[3]INVERGPO!$AF$7:$AF$11</definedName>
    <definedName name="_Key55" localSheetId="7" hidden="1">[3]INVERGPO!$AF$7:$AF$11</definedName>
    <definedName name="_Key55" hidden="1">[4]INVERGPO!$AF$7:$AF$11</definedName>
    <definedName name="_new1" hidden="1">{#N/A,#N/A,FALSE,"SMT1";#N/A,#N/A,FALSE,"SMT2";#N/A,#N/A,FALSE,"Summary";#N/A,#N/A,FALSE,"Graphs";#N/A,#N/A,FALSE,"4 Panel"}</definedName>
    <definedName name="_New15" hidden="1">{"EVA",#N/A,FALSE,"SMT2";#N/A,#N/A,FALSE,"Summary";#N/A,#N/A,FALSE,"Graphs";#N/A,#N/A,FALSE,"4 Panel"}</definedName>
    <definedName name="_New16" hidden="1">{#N/A,#N/A,FALSE,"SMT1";#N/A,#N/A,FALSE,"SMT2";#N/A,#N/A,FALSE,"Summary";#N/A,#N/A,FALSE,"Graphs";#N/A,#N/A,FALSE,"4 Panel"}</definedName>
    <definedName name="_New17" hidden="1">{#N/A,#N/A,FALSE,"SMT1";#N/A,#N/A,FALSE,"SMT2";#N/A,#N/A,FALSE,"Summary";#N/A,#N/A,FALSE,"Graphs";#N/A,#N/A,FALSE,"4 Panel"}</definedName>
    <definedName name="_New18" hidden="1">{#N/A,#N/A,FALSE,"Full";#N/A,#N/A,FALSE,"Half";#N/A,#N/A,FALSE,"Op Expenses";#N/A,#N/A,FALSE,"Cap Charge";#N/A,#N/A,FALSE,"Cost C";#N/A,#N/A,FALSE,"PP&amp;E";#N/A,#N/A,FALSE,"R&amp;D"}</definedName>
    <definedName name="_New19" hidden="1">{"EVA",#N/A,FALSE,"SMT2";#N/A,#N/A,FALSE,"Summary";#N/A,#N/A,FALSE,"Graphs";#N/A,#N/A,FALSE,"4 Panel"}</definedName>
    <definedName name="_New20" hidden="1">{#N/A,#N/A,FALSE,"SMT1";#N/A,#N/A,FALSE,"SMT2";#N/A,#N/A,FALSE,"Summary";#N/A,#N/A,FALSE,"Graphs";#N/A,#N/A,FALSE,"4 Panel"}</definedName>
    <definedName name="_New21" hidden="1">{#N/A,#N/A,FALSE,"Full";#N/A,#N/A,FALSE,"Half";#N/A,#N/A,FALSE,"Op Expenses";#N/A,#N/A,FALSE,"Cap Charge";#N/A,#N/A,FALSE,"Cost C";#N/A,#N/A,FALSE,"PP&amp;E";#N/A,#N/A,FALSE,"R&amp;D"}</definedName>
    <definedName name="_NEW3" hidden="1">{#N/A,#N/A,FALSE,"SMT1";#N/A,#N/A,FALSE,"SMT2";#N/A,#N/A,FALSE,"Summary";#N/A,#N/A,FALSE,"Graphs";#N/A,#N/A,FALSE,"4 Panel"}</definedName>
    <definedName name="_nEW30" hidden="1">{"EVA",#N/A,FALSE,"SMT2";#N/A,#N/A,FALSE,"Summary";#N/A,#N/A,FALSE,"Graphs";#N/A,#N/A,FALSE,"4 Panel"}</definedName>
    <definedName name="_New31" hidden="1">{#N/A,#N/A,FALSE,"SMT1";#N/A,#N/A,FALSE,"SMT2";#N/A,#N/A,FALSE,"Summary";#N/A,#N/A,FALSE,"Graphs";#N/A,#N/A,FALSE,"4 Panel"}</definedName>
    <definedName name="_New32" hidden="1">{#N/A,#N/A,FALSE,"SMT1";#N/A,#N/A,FALSE,"SMT2";#N/A,#N/A,FALSE,"Summary";#N/A,#N/A,FALSE,"Graphs";#N/A,#N/A,FALSE,"4 Panel"}</definedName>
    <definedName name="_New33" hidden="1">{#N/A,#N/A,FALSE,"Full";#N/A,#N/A,FALSE,"Half";#N/A,#N/A,FALSE,"Op Expenses";#N/A,#N/A,FALSE,"Cap Charge";#N/A,#N/A,FALSE,"Cost C";#N/A,#N/A,FALSE,"PP&amp;E";#N/A,#N/A,FALSE,"R&amp;D"}</definedName>
    <definedName name="_New34" hidden="1">{"EVA",#N/A,FALSE,"SMT2";#N/A,#N/A,FALSE,"Summary";#N/A,#N/A,FALSE,"Graphs";#N/A,#N/A,FALSE,"4 Panel"}</definedName>
    <definedName name="_New35" hidden="1">{#N/A,#N/A,FALSE,"SMT1";#N/A,#N/A,FALSE,"SMT2";#N/A,#N/A,FALSE,"Summary";#N/A,#N/A,FALSE,"Graphs";#N/A,#N/A,FALSE,"4 Panel"}</definedName>
    <definedName name="_New36" hidden="1">{#N/A,#N/A,FALSE,"Full";#N/A,#N/A,FALSE,"Half";#N/A,#N/A,FALSE,"Op Expenses";#N/A,#N/A,FALSE,"Cap Charge";#N/A,#N/A,FALSE,"Cost C";#N/A,#N/A,FALSE,"PP&amp;E";#N/A,#N/A,FALSE,"R&amp;D"}</definedName>
    <definedName name="_NEW4" hidden="1">{#N/A,#N/A,FALSE,"Full";#N/A,#N/A,FALSE,"Half";#N/A,#N/A,FALSE,"Op Expenses";#N/A,#N/A,FALSE,"Cap Charge";#N/A,#N/A,FALSE,"Cost C";#N/A,#N/A,FALSE,"PP&amp;E";#N/A,#N/A,FALSE,"R&amp;D"}</definedName>
    <definedName name="_OCT2" localSheetId="6" hidden="1">{#N/A,#N/A,FALSE,"BL&amp;GPA";#N/A,#N/A,FALSE,"Summary";#N/A,#N/A,FALSE,"hts"}</definedName>
    <definedName name="_OCT2" localSheetId="1" hidden="1">{#N/A,#N/A,FALSE,"BL&amp;GPA";#N/A,#N/A,FALSE,"Summary";#N/A,#N/A,FALSE,"hts"}</definedName>
    <definedName name="_OCT2" localSheetId="4" hidden="1">{#N/A,#N/A,FALSE,"BL&amp;GPA";#N/A,#N/A,FALSE,"Summary";#N/A,#N/A,FALSE,"hts"}</definedName>
    <definedName name="_OCT2" localSheetId="0" hidden="1">{#N/A,#N/A,FALSE,"BL&amp;GPA";#N/A,#N/A,FALSE,"Summary";#N/A,#N/A,FALSE,"hts"}</definedName>
    <definedName name="_OCT2" localSheetId="3" hidden="1">{#N/A,#N/A,FALSE,"BL&amp;GPA";#N/A,#N/A,FALSE,"Summary";#N/A,#N/A,FALSE,"hts"}</definedName>
    <definedName name="_OCT2" localSheetId="2" hidden="1">{#N/A,#N/A,FALSE,"BL&amp;GPA";#N/A,#N/A,FALSE,"Summary";#N/A,#N/A,FALSE,"hts"}</definedName>
    <definedName name="_OCT2" localSheetId="5" hidden="1">{#N/A,#N/A,FALSE,"BL&amp;GPA";#N/A,#N/A,FALSE,"Summary";#N/A,#N/A,FALSE,"hts"}</definedName>
    <definedName name="_OCT2" localSheetId="7" hidden="1">{#N/A,#N/A,FALSE,"BL&amp;GPA";#N/A,#N/A,FALSE,"Summary";#N/A,#N/A,FALSE,"hts"}</definedName>
    <definedName name="_OCT2" hidden="1">{#N/A,#N/A,FALSE,"BL&amp;GPA";#N/A,#N/A,FALSE,"Summary";#N/A,#N/A,FALSE,"hts"}</definedName>
    <definedName name="_ok1" localSheetId="6" hidden="1">{#N/A,#N/A,FALSE,"balance";#N/A,#N/A,FALSE,"PYG"}</definedName>
    <definedName name="_ok1" localSheetId="1" hidden="1">{#N/A,#N/A,FALSE,"balance";#N/A,#N/A,FALSE,"PYG"}</definedName>
    <definedName name="_ok1" localSheetId="4" hidden="1">{#N/A,#N/A,FALSE,"balance";#N/A,#N/A,FALSE,"PYG"}</definedName>
    <definedName name="_ok1" localSheetId="0" hidden="1">{#N/A,#N/A,FALSE,"balance";#N/A,#N/A,FALSE,"PYG"}</definedName>
    <definedName name="_ok1" localSheetId="3" hidden="1">{#N/A,#N/A,FALSE,"balance";#N/A,#N/A,FALSE,"PYG"}</definedName>
    <definedName name="_ok1" localSheetId="2" hidden="1">{#N/A,#N/A,FALSE,"balance";#N/A,#N/A,FALSE,"PYG"}</definedName>
    <definedName name="_ok1" localSheetId="5" hidden="1">{#N/A,#N/A,FALSE,"balance";#N/A,#N/A,FALSE,"PYG"}</definedName>
    <definedName name="_ok1" localSheetId="7" hidden="1">{#N/A,#N/A,FALSE,"balance";#N/A,#N/A,FALSE,"PYG"}</definedName>
    <definedName name="_ok1" hidden="1">{#N/A,#N/A,FALSE,"balance";#N/A,#N/A,FALSE,"PYG"}</definedName>
    <definedName name="_Ok2" localSheetId="6" hidden="1">{#N/A,#N/A,FALSE,"balance";#N/A,#N/A,FALSE,"PYG"}</definedName>
    <definedName name="_Ok2" localSheetId="1" hidden="1">{#N/A,#N/A,FALSE,"balance";#N/A,#N/A,FALSE,"PYG"}</definedName>
    <definedName name="_Ok2" localSheetId="4" hidden="1">{#N/A,#N/A,FALSE,"balance";#N/A,#N/A,FALSE,"PYG"}</definedName>
    <definedName name="_Ok2" localSheetId="0" hidden="1">{#N/A,#N/A,FALSE,"balance";#N/A,#N/A,FALSE,"PYG"}</definedName>
    <definedName name="_Ok2" localSheetId="3" hidden="1">{#N/A,#N/A,FALSE,"balance";#N/A,#N/A,FALSE,"PYG"}</definedName>
    <definedName name="_Ok2" localSheetId="2" hidden="1">{#N/A,#N/A,FALSE,"balance";#N/A,#N/A,FALSE,"PYG"}</definedName>
    <definedName name="_Ok2" localSheetId="5" hidden="1">{#N/A,#N/A,FALSE,"balance";#N/A,#N/A,FALSE,"PYG"}</definedName>
    <definedName name="_Ok2" localSheetId="7" hidden="1">{#N/A,#N/A,FALSE,"balance";#N/A,#N/A,FALSE,"PYG"}</definedName>
    <definedName name="_Ok2" hidden="1">{#N/A,#N/A,FALSE,"balance";#N/A,#N/A,FALSE,"PYG"}</definedName>
    <definedName name="_Orden" localSheetId="6" hidden="1">[3]INVERGPO!$B$24:$AF$103</definedName>
    <definedName name="_Orden" localSheetId="5" hidden="1">[3]INVERGPO!$B$24:$AF$103</definedName>
    <definedName name="_Orden" localSheetId="7" hidden="1">[3]INVERGPO!$B$24:$AF$103</definedName>
    <definedName name="_Orden" hidden="1">[4]INVERGPO!$B$24:$AF$103</definedName>
    <definedName name="_Order1" hidden="1">0</definedName>
    <definedName name="_Order2" hidden="1">0</definedName>
    <definedName name="_Parse_In" localSheetId="6" hidden="1">[5]BOGOTA!#REF!</definedName>
    <definedName name="_Parse_In" localSheetId="1" hidden="1">[5]BOGOTA!#REF!</definedName>
    <definedName name="_Parse_In" localSheetId="4" hidden="1">[5]BOGOTA!#REF!</definedName>
    <definedName name="_Parse_In" localSheetId="0" hidden="1">[5]BOGOTA!#REF!</definedName>
    <definedName name="_Parse_In" localSheetId="3" hidden="1">[5]BOGOTA!#REF!</definedName>
    <definedName name="_Parse_In" localSheetId="2" hidden="1">[5]BOGOTA!#REF!</definedName>
    <definedName name="_Parse_In" localSheetId="5" hidden="1">[5]BOGOTA!#REF!</definedName>
    <definedName name="_Parse_In" localSheetId="7" hidden="1">[5]BOGOTA!#REF!</definedName>
    <definedName name="_Parse_In" hidden="1">[5]BOGOTA!#REF!</definedName>
    <definedName name="_Parse_Out" localSheetId="1" hidden="1">#REF!</definedName>
    <definedName name="_Parse_Out" localSheetId="4" hidden="1">#REF!</definedName>
    <definedName name="_Parse_Out" localSheetId="0" hidden="1">#REF!</definedName>
    <definedName name="_Parse_Out" localSheetId="3" hidden="1">#REF!</definedName>
    <definedName name="_Parse_Out" localSheetId="2" hidden="1">#REF!</definedName>
    <definedName name="_Parse_Out" hidden="1">#REF!</definedName>
    <definedName name="_PyG2" localSheetId="6" hidden="1">{#N/A,#N/A,FALSE,"balance";#N/A,#N/A,FALSE,"PYG"}</definedName>
    <definedName name="_PyG2" localSheetId="1" hidden="1">{#N/A,#N/A,FALSE,"balance";#N/A,#N/A,FALSE,"PYG"}</definedName>
    <definedName name="_PyG2" localSheetId="4" hidden="1">{#N/A,#N/A,FALSE,"balance";#N/A,#N/A,FALSE,"PYG"}</definedName>
    <definedName name="_PyG2" localSheetId="0" hidden="1">{#N/A,#N/A,FALSE,"balance";#N/A,#N/A,FALSE,"PYG"}</definedName>
    <definedName name="_PyG2" localSheetId="3" hidden="1">{#N/A,#N/A,FALSE,"balance";#N/A,#N/A,FALSE,"PYG"}</definedName>
    <definedName name="_PyG2" localSheetId="2" hidden="1">{#N/A,#N/A,FALSE,"balance";#N/A,#N/A,FALSE,"PYG"}</definedName>
    <definedName name="_PyG2" localSheetId="5" hidden="1">{#N/A,#N/A,FALSE,"balance";#N/A,#N/A,FALSE,"PYG"}</definedName>
    <definedName name="_PyG2" localSheetId="7" hidden="1">{#N/A,#N/A,FALSE,"balance";#N/A,#N/A,FALSE,"PYG"}</definedName>
    <definedName name="_PyG2" hidden="1">{#N/A,#N/A,FALSE,"balance";#N/A,#N/A,FALSE,"PYG"}</definedName>
    <definedName name="_PYG3" localSheetId="6" hidden="1">{#N/A,#N/A,FALSE,"balance";#N/A,#N/A,FALSE,"PYG"}</definedName>
    <definedName name="_PYG3" localSheetId="1" hidden="1">{#N/A,#N/A,FALSE,"balance";#N/A,#N/A,FALSE,"PYG"}</definedName>
    <definedName name="_PYG3" localSheetId="4" hidden="1">{#N/A,#N/A,FALSE,"balance";#N/A,#N/A,FALSE,"PYG"}</definedName>
    <definedName name="_PYG3" localSheetId="0" hidden="1">{#N/A,#N/A,FALSE,"balance";#N/A,#N/A,FALSE,"PYG"}</definedName>
    <definedName name="_PYG3" localSheetId="3" hidden="1">{#N/A,#N/A,FALSE,"balance";#N/A,#N/A,FALSE,"PYG"}</definedName>
    <definedName name="_PYG3" localSheetId="2" hidden="1">{#N/A,#N/A,FALSE,"balance";#N/A,#N/A,FALSE,"PYG"}</definedName>
    <definedName name="_PYG3" localSheetId="5" hidden="1">{#N/A,#N/A,FALSE,"balance";#N/A,#N/A,FALSE,"PYG"}</definedName>
    <definedName name="_PYG3" localSheetId="7" hidden="1">{#N/A,#N/A,FALSE,"balance";#N/A,#N/A,FALSE,"PYG"}</definedName>
    <definedName name="_PYG3" hidden="1">{#N/A,#N/A,FALSE,"balance";#N/A,#N/A,FALSE,"PYG"}</definedName>
    <definedName name="_PyG33" localSheetId="6" hidden="1">{#N/A,#N/A,FALSE,"balance";#N/A,#N/A,FALSE,"PYG"}</definedName>
    <definedName name="_PyG33" localSheetId="1" hidden="1">{#N/A,#N/A,FALSE,"balance";#N/A,#N/A,FALSE,"PYG"}</definedName>
    <definedName name="_PyG33" localSheetId="4" hidden="1">{#N/A,#N/A,FALSE,"balance";#N/A,#N/A,FALSE,"PYG"}</definedName>
    <definedName name="_PyG33" localSheetId="0" hidden="1">{#N/A,#N/A,FALSE,"balance";#N/A,#N/A,FALSE,"PYG"}</definedName>
    <definedName name="_PyG33" localSheetId="3" hidden="1">{#N/A,#N/A,FALSE,"balance";#N/A,#N/A,FALSE,"PYG"}</definedName>
    <definedName name="_PyG33" localSheetId="2" hidden="1">{#N/A,#N/A,FALSE,"balance";#N/A,#N/A,FALSE,"PYG"}</definedName>
    <definedName name="_PyG33" localSheetId="5" hidden="1">{#N/A,#N/A,FALSE,"balance";#N/A,#N/A,FALSE,"PYG"}</definedName>
    <definedName name="_PyG33" localSheetId="7" hidden="1">{#N/A,#N/A,FALSE,"balance";#N/A,#N/A,FALSE,"PYG"}</definedName>
    <definedName name="_PyG33" hidden="1">{#N/A,#N/A,FALSE,"balance";#N/A,#N/A,FALSE,"PYG"}</definedName>
    <definedName name="_PYG4" hidden="1">{#N/A,#N/A,FALSE,"balance";#N/A,#N/A,FALSE,"PYG"}</definedName>
    <definedName name="_R" localSheetId="4" hidden="1">{#N/A,#N/A,FALSE,"GRAFICO";#N/A,#N/A,FALSE,"CAJA (2)";#N/A,#N/A,FALSE,"TERCEROS-PROMEDIO";#N/A,#N/A,FALSE,"CAJA";#N/A,#N/A,FALSE,"INGRESOS1995-2003";#N/A,#N/A,FALSE,"GASTOS1995-2003"}</definedName>
    <definedName name="_R" localSheetId="3" hidden="1">{#N/A,#N/A,FALSE,"GRAFICO";#N/A,#N/A,FALSE,"CAJA (2)";#N/A,#N/A,FALSE,"TERCEROS-PROMEDIO";#N/A,#N/A,FALSE,"CAJA";#N/A,#N/A,FALSE,"INGRESOS1995-2003";#N/A,#N/A,FALSE,"GASTOS1995-2003"}</definedName>
    <definedName name="_R" localSheetId="2" hidden="1">{#N/A,#N/A,FALSE,"GRAFICO";#N/A,#N/A,FALSE,"CAJA (2)";#N/A,#N/A,FALSE,"TERCEROS-PROMEDIO";#N/A,#N/A,FALSE,"CAJA";#N/A,#N/A,FALSE,"INGRESOS1995-2003";#N/A,#N/A,FALSE,"GASTOS1995-2003"}</definedName>
    <definedName name="_R" hidden="1">{#N/A,#N/A,FALSE,"GRAFICO";#N/A,#N/A,FALSE,"CAJA (2)";#N/A,#N/A,FALSE,"TERCEROS-PROMEDIO";#N/A,#N/A,FALSE,"CAJA";#N/A,#N/A,FALSE,"INGRESOS1995-2003";#N/A,#N/A,FALSE,"GASTOS1995-2003"}</definedName>
    <definedName name="_Regression_Int" hidden="1">1</definedName>
    <definedName name="_Regression_Out" localSheetId="6" hidden="1">#REF!</definedName>
    <definedName name="_Regression_Out" localSheetId="1" hidden="1">#REF!</definedName>
    <definedName name="_Regression_Out" localSheetId="4" hidden="1">#REF!</definedName>
    <definedName name="_Regression_Out" localSheetId="0" hidden="1">#REF!</definedName>
    <definedName name="_Regression_Out" localSheetId="3" hidden="1">#REF!</definedName>
    <definedName name="_Regression_Out" localSheetId="2" hidden="1">#REF!</definedName>
    <definedName name="_Regression_Out" localSheetId="5" hidden="1">#REF!</definedName>
    <definedName name="_Regression_Out" localSheetId="7" hidden="1">#REF!</definedName>
    <definedName name="_Regression_Out" hidden="1">#REF!</definedName>
    <definedName name="_Regression_X" localSheetId="6" hidden="1">#REF!</definedName>
    <definedName name="_Regression_X" localSheetId="1" hidden="1">#REF!</definedName>
    <definedName name="_Regression_X" localSheetId="4" hidden="1">#REF!</definedName>
    <definedName name="_Regression_X" localSheetId="0" hidden="1">#REF!</definedName>
    <definedName name="_Regression_X" localSheetId="3" hidden="1">#REF!</definedName>
    <definedName name="_Regression_X" localSheetId="2" hidden="1">#REF!</definedName>
    <definedName name="_Regression_X" localSheetId="5" hidden="1">#REF!</definedName>
    <definedName name="_Regression_X" localSheetId="7" hidden="1">#REF!</definedName>
    <definedName name="_Regression_X" hidden="1">#REF!</definedName>
    <definedName name="_Regression_Y" localSheetId="6" hidden="1">#REF!</definedName>
    <definedName name="_Regression_Y" localSheetId="1" hidden="1">#REF!</definedName>
    <definedName name="_Regression_Y" localSheetId="4" hidden="1">#REF!</definedName>
    <definedName name="_Regression_Y" localSheetId="0" hidden="1">#REF!</definedName>
    <definedName name="_Regression_Y" localSheetId="3" hidden="1">#REF!</definedName>
    <definedName name="_Regression_Y" localSheetId="2" hidden="1">#REF!</definedName>
    <definedName name="_Regression_Y" localSheetId="5" hidden="1">#REF!</definedName>
    <definedName name="_Regression_Y" localSheetId="7" hidden="1">#REF!</definedName>
    <definedName name="_Regression_Y" hidden="1">#REF!</definedName>
    <definedName name="_Sort" localSheetId="6" hidden="1">[3]INVERGPO!$B$24:$AF$103</definedName>
    <definedName name="_Sort" localSheetId="5" hidden="1">[3]INVERGPO!$B$24:$AF$103</definedName>
    <definedName name="_Sort" localSheetId="7" hidden="1">[3]INVERGPO!$B$24:$AF$103</definedName>
    <definedName name="_Sort" hidden="1">[4]INVERGPO!$B$24:$AF$103</definedName>
    <definedName name="_Table2_Out" localSheetId="6" hidden="1">#REF!</definedName>
    <definedName name="_Table2_Out" localSheetId="1" hidden="1">#REF!</definedName>
    <definedName name="_Table2_Out" localSheetId="4" hidden="1">#REF!</definedName>
    <definedName name="_Table2_Out" localSheetId="0" hidden="1">#REF!</definedName>
    <definedName name="_Table2_Out" localSheetId="3" hidden="1">#REF!</definedName>
    <definedName name="_Table2_Out" localSheetId="2" hidden="1">#REF!</definedName>
    <definedName name="_Table2_Out" localSheetId="5" hidden="1">#REF!</definedName>
    <definedName name="_Table2_Out" localSheetId="7" hidden="1">#REF!</definedName>
    <definedName name="_Table2_Out" hidden="1">#REF!</definedName>
    <definedName name="a" localSheetId="6" hidden="1">{#N/A,#N/A,FALSE,"balance";#N/A,#N/A,FALSE,"PYG"}</definedName>
    <definedName name="a" localSheetId="1" hidden="1">{#N/A,#N/A,FALSE,"balance";#N/A,#N/A,FALSE,"PYG"}</definedName>
    <definedName name="a" localSheetId="4" hidden="1">{#N/A,#N/A,FALSE,"balance";#N/A,#N/A,FALSE,"PYG"}</definedName>
    <definedName name="a" localSheetId="0" hidden="1">{#N/A,#N/A,FALSE,"balance";#N/A,#N/A,FALSE,"PYG"}</definedName>
    <definedName name="a" localSheetId="3" hidden="1">{#N/A,#N/A,FALSE,"balance";#N/A,#N/A,FALSE,"PYG"}</definedName>
    <definedName name="a" localSheetId="2" hidden="1">{#N/A,#N/A,FALSE,"balance";#N/A,#N/A,FALSE,"PYG"}</definedName>
    <definedName name="a" localSheetId="5" hidden="1">{#N/A,#N/A,FALSE,"balance";#N/A,#N/A,FALSE,"PYG"}</definedName>
    <definedName name="a" localSheetId="7" hidden="1">{#N/A,#N/A,FALSE,"balance";#N/A,#N/A,FALSE,"PYG"}</definedName>
    <definedName name="a" hidden="1">{#N/A,#N/A,FALSE,"balance";#N/A,#N/A,FALSE,"PYG"}</definedName>
    <definedName name="aa" hidden="1">{#N/A,#N/A,FALSE,"VENTAS";#N/A,#N/A,FALSE,"U. BRUTA";#N/A,#N/A,FALSE,"G. PERSONAL";#N/A,#N/A,FALSE,"G. OPERACION";#N/A,#N/A,FALSE,"G. DEPYAM";#N/A,#N/A,FALSE,"INGRESOS";#N/A,#N/A,FALSE,"G.o P.1";#N/A,#N/A,FALSE,"3%Informe Junta";#N/A,#N/A,FALSE,"P Y G (2)";#N/A,#N/A,FALSE,"CART. PROV.";#N/A,#N/A,FALSE,"Usecmes";#N/A,#N/A,FALSE,"Usecacu"}</definedName>
    <definedName name="AAA" localSheetId="6" hidden="1">{#N/A,#N/A,FALSE,"balance";#N/A,#N/A,FALSE,"PYG"}</definedName>
    <definedName name="AAA" localSheetId="1" hidden="1">{#N/A,#N/A,FALSE,"balance";#N/A,#N/A,FALSE,"PYG"}</definedName>
    <definedName name="AAA" localSheetId="4" hidden="1">{#N/A,#N/A,FALSE,"balance";#N/A,#N/A,FALSE,"PYG"}</definedName>
    <definedName name="AAA" localSheetId="0" hidden="1">{#N/A,#N/A,FALSE,"balance";#N/A,#N/A,FALSE,"PYG"}</definedName>
    <definedName name="AAA" localSheetId="3" hidden="1">{#N/A,#N/A,FALSE,"balance";#N/A,#N/A,FALSE,"PYG"}</definedName>
    <definedName name="AAA" localSheetId="2" hidden="1">{#N/A,#N/A,FALSE,"balance";#N/A,#N/A,FALSE,"PYG"}</definedName>
    <definedName name="AAA" localSheetId="5" hidden="1">{#N/A,#N/A,FALSE,"balance";#N/A,#N/A,FALSE,"PYG"}</definedName>
    <definedName name="AAA" localSheetId="7" hidden="1">{#N/A,#N/A,FALSE,"balance";#N/A,#N/A,FALSE,"PYG"}</definedName>
    <definedName name="AAA" hidden="1">{#N/A,#N/A,FALSE,"balance";#N/A,#N/A,FALSE,"PYG"}</definedName>
    <definedName name="AAAA" localSheetId="4" hidden="1">{#N/A,#N/A,FALSE,"Aging Summary";#N/A,#N/A,FALSE,"Ratio Analysis";#N/A,#N/A,FALSE,"Test 120 Day Accts";#N/A,#N/A,FALSE,"Tickmarks"}</definedName>
    <definedName name="AAAA" localSheetId="3" hidden="1">{#N/A,#N/A,FALSE,"Aging Summary";#N/A,#N/A,FALSE,"Ratio Analysis";#N/A,#N/A,FALSE,"Test 120 Day Accts";#N/A,#N/A,FALSE,"Tickmarks"}</definedName>
    <definedName name="AAAA" localSheetId="2" hidden="1">{#N/A,#N/A,FALSE,"Aging Summary";#N/A,#N/A,FALSE,"Ratio Analysis";#N/A,#N/A,FALSE,"Test 120 Day Accts";#N/A,#N/A,FALSE,"Tickmarks"}</definedName>
    <definedName name="AAAA" hidden="1">{#N/A,#N/A,FALSE,"Aging Summary";#N/A,#N/A,FALSE,"Ratio Analysis";#N/A,#N/A,FALSE,"Test 120 Day Accts";#N/A,#N/A,FALSE,"Tickmarks"}</definedName>
    <definedName name="AAAAA" localSheetId="6" hidden="1">{#N/A,#N/A,FALSE,"balance";#N/A,#N/A,FALSE,"PYG"}</definedName>
    <definedName name="AAAAA" localSheetId="1" hidden="1">{#N/A,#N/A,FALSE,"balance";#N/A,#N/A,FALSE,"PYG"}</definedName>
    <definedName name="AAAAA" localSheetId="4" hidden="1">{#N/A,#N/A,FALSE,"balance";#N/A,#N/A,FALSE,"PYG"}</definedName>
    <definedName name="AAAAA" localSheetId="0" hidden="1">{#N/A,#N/A,FALSE,"balance";#N/A,#N/A,FALSE,"PYG"}</definedName>
    <definedName name="AAAAA" localSheetId="3" hidden="1">{#N/A,#N/A,FALSE,"balance";#N/A,#N/A,FALSE,"PYG"}</definedName>
    <definedName name="AAAAA" localSheetId="2" hidden="1">{#N/A,#N/A,FALSE,"balance";#N/A,#N/A,FALSE,"PYG"}</definedName>
    <definedName name="AAAAA" localSheetId="5" hidden="1">{#N/A,#N/A,FALSE,"balance";#N/A,#N/A,FALSE,"PYG"}</definedName>
    <definedName name="AAAAA" localSheetId="7" hidden="1">{#N/A,#N/A,FALSE,"balance";#N/A,#N/A,FALSE,"PYG"}</definedName>
    <definedName name="AAAAA" hidden="1">{#N/A,#N/A,FALSE,"balance";#N/A,#N/A,FALSE,"PYG"}</definedName>
    <definedName name="aasasa" localSheetId="4" hidden="1">{#N/A,#N/A,TRUE,"Cond";#N/A,#N/A,TRUE,"Bce_hold";#N/A,#N/A,TRUE,"eerr_hold";#N/A,#N/A,TRUE,"eerr_prod";#N/A,#N/A,TRUE,"eerr_tipogtos";#N/A,#N/A,TRUE,"Flujo";#N/A,#N/A,TRUE,"Var_Ebit";#N/A,#N/A,TRUE,"Noa";#N/A,#N/A,TRUE,"Var_Noa"}</definedName>
    <definedName name="aasasa" localSheetId="3" hidden="1">{#N/A,#N/A,TRUE,"Cond";#N/A,#N/A,TRUE,"Bce_hold";#N/A,#N/A,TRUE,"eerr_hold";#N/A,#N/A,TRUE,"eerr_prod";#N/A,#N/A,TRUE,"eerr_tipogtos";#N/A,#N/A,TRUE,"Flujo";#N/A,#N/A,TRUE,"Var_Ebit";#N/A,#N/A,TRUE,"Noa";#N/A,#N/A,TRUE,"Var_Noa"}</definedName>
    <definedName name="aasasa" localSheetId="2" hidden="1">{#N/A,#N/A,TRUE,"Cond";#N/A,#N/A,TRUE,"Bce_hold";#N/A,#N/A,TRUE,"eerr_hold";#N/A,#N/A,TRUE,"eerr_prod";#N/A,#N/A,TRUE,"eerr_tipogtos";#N/A,#N/A,TRUE,"Flujo";#N/A,#N/A,TRUE,"Var_Ebit";#N/A,#N/A,TRUE,"Noa";#N/A,#N/A,TRUE,"Var_Noa"}</definedName>
    <definedName name="aasasa" hidden="1">{#N/A,#N/A,TRUE,"Cond";#N/A,#N/A,TRUE,"Bce_hold";#N/A,#N/A,TRUE,"eerr_hold";#N/A,#N/A,TRUE,"eerr_prod";#N/A,#N/A,TRUE,"eerr_tipogtos";#N/A,#N/A,TRUE,"Flujo";#N/A,#N/A,TRUE,"Var_Ebit";#N/A,#N/A,TRUE,"Noa";#N/A,#N/A,TRUE,"Var_Noa"}</definedName>
    <definedName name="aasasas" localSheetId="4" hidden="1">{#N/A,#N/A,TRUE,"Cond";#N/A,#N/A,TRUE,"Bce_hold";#N/A,#N/A,TRUE,"eerr_hold";#N/A,#N/A,TRUE,"eerr_prod";#N/A,#N/A,TRUE,"eerr_tipogtos";#N/A,#N/A,TRUE,"Flujo";#N/A,#N/A,TRUE,"Var_Ebit";#N/A,#N/A,TRUE,"Noa";#N/A,#N/A,TRUE,"Var_Noa"}</definedName>
    <definedName name="aasasas" localSheetId="3" hidden="1">{#N/A,#N/A,TRUE,"Cond";#N/A,#N/A,TRUE,"Bce_hold";#N/A,#N/A,TRUE,"eerr_hold";#N/A,#N/A,TRUE,"eerr_prod";#N/A,#N/A,TRUE,"eerr_tipogtos";#N/A,#N/A,TRUE,"Flujo";#N/A,#N/A,TRUE,"Var_Ebit";#N/A,#N/A,TRUE,"Noa";#N/A,#N/A,TRUE,"Var_Noa"}</definedName>
    <definedName name="aasasas" localSheetId="2" hidden="1">{#N/A,#N/A,TRUE,"Cond";#N/A,#N/A,TRUE,"Bce_hold";#N/A,#N/A,TRUE,"eerr_hold";#N/A,#N/A,TRUE,"eerr_prod";#N/A,#N/A,TRUE,"eerr_tipogtos";#N/A,#N/A,TRUE,"Flujo";#N/A,#N/A,TRUE,"Var_Ebit";#N/A,#N/A,TRUE,"Noa";#N/A,#N/A,TRUE,"Var_Noa"}</definedName>
    <definedName name="aasasas" hidden="1">{#N/A,#N/A,TRUE,"Cond";#N/A,#N/A,TRUE,"Bce_hold";#N/A,#N/A,TRUE,"eerr_hold";#N/A,#N/A,TRUE,"eerr_prod";#N/A,#N/A,TRUE,"eerr_tipogtos";#N/A,#N/A,TRUE,"Flujo";#N/A,#N/A,TRUE,"Var_Ebit";#N/A,#N/A,TRUE,"Noa";#N/A,#N/A,TRUE,"Var_Noa"}</definedName>
    <definedName name="ABARROTES" localSheetId="4" hidden="1">{#N/A,#N/A,FALSE,"VENTAS";#N/A,#N/A,FALSE,"U. BRUTA";#N/A,#N/A,FALSE,"G. PERSONAL";#N/A,#N/A,FALSE,"G. OPERACION";#N/A,#N/A,FALSE,"G. DEPYAM";#N/A,#N/A,FALSE,"INGRESOS";#N/A,#N/A,FALSE,"G.o P.1";#N/A,#N/A,FALSE,"3%Informe Junta";#N/A,#N/A,FALSE,"P Y G (2)";#N/A,#N/A,FALSE,"CART. PROV.";#N/A,#N/A,FALSE,"Usecmes";#N/A,#N/A,FALSE,"Usecacu"}</definedName>
    <definedName name="ABARROTES" localSheetId="3" hidden="1">{#N/A,#N/A,FALSE,"VENTAS";#N/A,#N/A,FALSE,"U. BRUTA";#N/A,#N/A,FALSE,"G. PERSONAL";#N/A,#N/A,FALSE,"G. OPERACION";#N/A,#N/A,FALSE,"G. DEPYAM";#N/A,#N/A,FALSE,"INGRESOS";#N/A,#N/A,FALSE,"G.o P.1";#N/A,#N/A,FALSE,"3%Informe Junta";#N/A,#N/A,FALSE,"P Y G (2)";#N/A,#N/A,FALSE,"CART. PROV.";#N/A,#N/A,FALSE,"Usecmes";#N/A,#N/A,FALSE,"Usecacu"}</definedName>
    <definedName name="ABARROTES" localSheetId="2" hidden="1">{#N/A,#N/A,FALSE,"VENTAS";#N/A,#N/A,FALSE,"U. BRUTA";#N/A,#N/A,FALSE,"G. PERSONAL";#N/A,#N/A,FALSE,"G. OPERACION";#N/A,#N/A,FALSE,"G. DEPYAM";#N/A,#N/A,FALSE,"INGRESOS";#N/A,#N/A,FALSE,"G.o P.1";#N/A,#N/A,FALSE,"3%Informe Junta";#N/A,#N/A,FALSE,"P Y G (2)";#N/A,#N/A,FALSE,"CART. PROV.";#N/A,#N/A,FALSE,"Usecmes";#N/A,#N/A,FALSE,"Usecacu"}</definedName>
    <definedName name="ABARROTES" hidden="1">{#N/A,#N/A,FALSE,"VENTAS";#N/A,#N/A,FALSE,"U. BRUTA";#N/A,#N/A,FALSE,"G. PERSONAL";#N/A,#N/A,FALSE,"G. OPERACION";#N/A,#N/A,FALSE,"G. DEPYAM";#N/A,#N/A,FALSE,"INGRESOS";#N/A,#N/A,FALSE,"G.o P.1";#N/A,#N/A,FALSE,"3%Informe Junta";#N/A,#N/A,FALSE,"P Y G (2)";#N/A,#N/A,FALSE,"CART. PROV.";#N/A,#N/A,FALSE,"Usecmes";#N/A,#N/A,FALSE,"Usecacu"}</definedName>
    <definedName name="abe" localSheetId="4" hidden="1">{#N/A,#N/A,FALSE,"balance";#N/A,#N/A,FALSE,"PYG"}</definedName>
    <definedName name="abe" localSheetId="3" hidden="1">{#N/A,#N/A,FALSE,"balance";#N/A,#N/A,FALSE,"PYG"}</definedName>
    <definedName name="abe" localSheetId="2" hidden="1">{#N/A,#N/A,FALSE,"balance";#N/A,#N/A,FALSE,"PYG"}</definedName>
    <definedName name="abe" hidden="1">{#N/A,#N/A,FALSE,"balance";#N/A,#N/A,FALSE,"PYG"}</definedName>
    <definedName name="Abr" localSheetId="6" hidden="1">{#N/A,#N/A,FALSE,"GP";#N/A,#N/A,FALSE,"Summary"}</definedName>
    <definedName name="Abr" localSheetId="1" hidden="1">{#N/A,#N/A,FALSE,"GP";#N/A,#N/A,FALSE,"Summary"}</definedName>
    <definedName name="Abr" localSheetId="4" hidden="1">{#N/A,#N/A,FALSE,"GP";#N/A,#N/A,FALSE,"Summary"}</definedName>
    <definedName name="Abr" localSheetId="0" hidden="1">{#N/A,#N/A,FALSE,"GP";#N/A,#N/A,FALSE,"Summary"}</definedName>
    <definedName name="Abr" localSheetId="3" hidden="1">{#N/A,#N/A,FALSE,"GP";#N/A,#N/A,FALSE,"Summary"}</definedName>
    <definedName name="Abr" localSheetId="2" hidden="1">{#N/A,#N/A,FALSE,"GP";#N/A,#N/A,FALSE,"Summary"}</definedName>
    <definedName name="Abr" localSheetId="5" hidden="1">{#N/A,#N/A,FALSE,"GP";#N/A,#N/A,FALSE,"Summary"}</definedName>
    <definedName name="Abr" localSheetId="7" hidden="1">{#N/A,#N/A,FALSE,"GP";#N/A,#N/A,FALSE,"Summary"}</definedName>
    <definedName name="Abr" hidden="1">{#N/A,#N/A,FALSE,"GP";#N/A,#N/A,FALSE,"Summary"}</definedName>
    <definedName name="ABRIL" localSheetId="6" hidden="1">{#N/A,#N/A,FALSE,"GP";#N/A,#N/A,FALSE,"Summary"}</definedName>
    <definedName name="ABRIL" localSheetId="1" hidden="1">{#N/A,#N/A,FALSE,"GP";#N/A,#N/A,FALSE,"Summary"}</definedName>
    <definedName name="ABRIL" localSheetId="4" hidden="1">{#N/A,#N/A,FALSE,"GP";#N/A,#N/A,FALSE,"Summary"}</definedName>
    <definedName name="ABRIL" localSheetId="0" hidden="1">{#N/A,#N/A,FALSE,"GP";#N/A,#N/A,FALSE,"Summary"}</definedName>
    <definedName name="ABRIL" localSheetId="3" hidden="1">{#N/A,#N/A,FALSE,"GP";#N/A,#N/A,FALSE,"Summary"}</definedName>
    <definedName name="ABRIL" localSheetId="2" hidden="1">{#N/A,#N/A,FALSE,"GP";#N/A,#N/A,FALSE,"Summary"}</definedName>
    <definedName name="ABRIL" localSheetId="5" hidden="1">{#N/A,#N/A,FALSE,"GP";#N/A,#N/A,FALSE,"Summary"}</definedName>
    <definedName name="ABRIL" localSheetId="7" hidden="1">{#N/A,#N/A,FALSE,"GP";#N/A,#N/A,FALSE,"Summary"}</definedName>
    <definedName name="ABRIL" hidden="1">{#N/A,#N/A,FALSE,"GP";#N/A,#N/A,FALSE,"Summary"}</definedName>
    <definedName name="Abril2" localSheetId="6" hidden="1">{#N/A,#N/A,FALSE,"GP";#N/A,#N/A,FALSE,"Summary"}</definedName>
    <definedName name="Abril2" localSheetId="1" hidden="1">{#N/A,#N/A,FALSE,"GP";#N/A,#N/A,FALSE,"Summary"}</definedName>
    <definedName name="Abril2" localSheetId="4" hidden="1">{#N/A,#N/A,FALSE,"GP";#N/A,#N/A,FALSE,"Summary"}</definedName>
    <definedName name="Abril2" localSheetId="0" hidden="1">{#N/A,#N/A,FALSE,"GP";#N/A,#N/A,FALSE,"Summary"}</definedName>
    <definedName name="Abril2" localSheetId="3" hidden="1">{#N/A,#N/A,FALSE,"GP";#N/A,#N/A,FALSE,"Summary"}</definedName>
    <definedName name="Abril2" localSheetId="2" hidden="1">{#N/A,#N/A,FALSE,"GP";#N/A,#N/A,FALSE,"Summary"}</definedName>
    <definedName name="Abril2" localSheetId="5" hidden="1">{#N/A,#N/A,FALSE,"GP";#N/A,#N/A,FALSE,"Summary"}</definedName>
    <definedName name="Abril2" localSheetId="7" hidden="1">{#N/A,#N/A,FALSE,"GP";#N/A,#N/A,FALSE,"Summary"}</definedName>
    <definedName name="Abril2" hidden="1">{#N/A,#N/A,FALSE,"GP";#N/A,#N/A,FALSE,"Summary"}</definedName>
    <definedName name="AccessDatabase" hidden="1">"F:\AndersonLegal\Modificado\ANEXOC2000 PARA SOCIEDADES.mdb"</definedName>
    <definedName name="adfadsfsa" localSheetId="4" hidden="1">{#N/A,#N/A,FALSE,"GRAFICO";#N/A,#N/A,FALSE,"CAJA (2)";#N/A,#N/A,FALSE,"TERCEROS-PROMEDIO";#N/A,#N/A,FALSE,"CAJA";#N/A,#N/A,FALSE,"INGRESOS1995-2003";#N/A,#N/A,FALSE,"GASTOS1995-2003"}</definedName>
    <definedName name="adfadsfsa" localSheetId="3" hidden="1">{#N/A,#N/A,FALSE,"GRAFICO";#N/A,#N/A,FALSE,"CAJA (2)";#N/A,#N/A,FALSE,"TERCEROS-PROMEDIO";#N/A,#N/A,FALSE,"CAJA";#N/A,#N/A,FALSE,"INGRESOS1995-2003";#N/A,#N/A,FALSE,"GASTOS1995-2003"}</definedName>
    <definedName name="adfadsfsa" localSheetId="2" hidden="1">{#N/A,#N/A,FALSE,"GRAFICO";#N/A,#N/A,FALSE,"CAJA (2)";#N/A,#N/A,FALSE,"TERCEROS-PROMEDIO";#N/A,#N/A,FALSE,"CAJA";#N/A,#N/A,FALSE,"INGRESOS1995-2003";#N/A,#N/A,FALSE,"GASTOS1995-2003"}</definedName>
    <definedName name="adfadsfsa" hidden="1">{#N/A,#N/A,FALSE,"GRAFICO";#N/A,#N/A,FALSE,"CAJA (2)";#N/A,#N/A,FALSE,"TERCEROS-PROMEDIO";#N/A,#N/A,FALSE,"CAJA";#N/A,#N/A,FALSE,"INGRESOS1995-2003";#N/A,#N/A,FALSE,"GASTOS1995-2003"}</definedName>
    <definedName name="ads" localSheetId="4" hidden="1">{#N/A,#N/A,FALSE,"Aging Summary";#N/A,#N/A,FALSE,"Ratio Analysis";#N/A,#N/A,FALSE,"Test 120 Day Accts";#N/A,#N/A,FALSE,"Tickmarks"}</definedName>
    <definedName name="ads" localSheetId="3" hidden="1">{#N/A,#N/A,FALSE,"Aging Summary";#N/A,#N/A,FALSE,"Ratio Analysis";#N/A,#N/A,FALSE,"Test 120 Day Accts";#N/A,#N/A,FALSE,"Tickmarks"}</definedName>
    <definedName name="ads" localSheetId="2" hidden="1">{#N/A,#N/A,FALSE,"Aging Summary";#N/A,#N/A,FALSE,"Ratio Analysis";#N/A,#N/A,FALSE,"Test 120 Day Accts";#N/A,#N/A,FALSE,"Tickmarks"}</definedName>
    <definedName name="ads" hidden="1">{#N/A,#N/A,FALSE,"Aging Summary";#N/A,#N/A,FALSE,"Ratio Analysis";#N/A,#N/A,FALSE,"Test 120 Day Accts";#N/A,#N/A,FALSE,"Tickmarks"}</definedName>
    <definedName name="AGLO" hidden="1">{#N/A,#N/A,FALSE,"Aging Summary";#N/A,#N/A,FALSE,"Ratio Analysis";#N/A,#N/A,FALSE,"Test 120 Day Accts";#N/A,#N/A,FALSE,"Tickmarks"}</definedName>
    <definedName name="AJUSTADO" localSheetId="4" hidden="1">{"'S. C. B.'!$E$207"}</definedName>
    <definedName name="AJUSTADO" localSheetId="3" hidden="1">{"'S. C. B.'!$E$207"}</definedName>
    <definedName name="AJUSTADO" localSheetId="2" hidden="1">{"'S. C. B.'!$E$207"}</definedName>
    <definedName name="AJUSTADO" hidden="1">{"'S. C. B.'!$E$207"}</definedName>
    <definedName name="AKO" hidden="1">{#N/A,#N/A,FALSE,"SMT1";#N/A,#N/A,FALSE,"SMT2";#N/A,#N/A,FALSE,"Summary";#N/A,#N/A,FALSE,"Graphs";#N/A,#N/A,FALSE,"4 Panel"}</definedName>
    <definedName name="ALEJO" hidden="1">{#N/A,#N/A,FALSE,"Aging Summary";#N/A,#N/A,FALSE,"Ratio Analysis";#N/A,#N/A,FALSE,"Test 120 Day Accts";#N/A,#N/A,FALSE,"Tickmarks"}</definedName>
    <definedName name="alfayomega" hidden="1">{#N/A,#N/A,FALSE,"Aging Summary";#N/A,#N/A,FALSE,"Ratio Analysis";#N/A,#N/A,FALSE,"Test 120 Day Accts";#N/A,#N/A,FALSE,"Tickmarks"}</definedName>
    <definedName name="anex" localSheetId="6" hidden="1">{#N/A,#N/A,FALSE,"balance";#N/A,#N/A,FALSE,"PYG"}</definedName>
    <definedName name="anex" localSheetId="1" hidden="1">{#N/A,#N/A,FALSE,"balance";#N/A,#N/A,FALSE,"PYG"}</definedName>
    <definedName name="anex" localSheetId="4" hidden="1">{#N/A,#N/A,FALSE,"balance";#N/A,#N/A,FALSE,"PYG"}</definedName>
    <definedName name="anex" localSheetId="0" hidden="1">{#N/A,#N/A,FALSE,"balance";#N/A,#N/A,FALSE,"PYG"}</definedName>
    <definedName name="anex" localSheetId="3" hidden="1">{#N/A,#N/A,FALSE,"balance";#N/A,#N/A,FALSE,"PYG"}</definedName>
    <definedName name="anex" localSheetId="2" hidden="1">{#N/A,#N/A,FALSE,"balance";#N/A,#N/A,FALSE,"PYG"}</definedName>
    <definedName name="anex" localSheetId="5" hidden="1">{#N/A,#N/A,FALSE,"balance";#N/A,#N/A,FALSE,"PYG"}</definedName>
    <definedName name="anex" localSheetId="7" hidden="1">{#N/A,#N/A,FALSE,"balance";#N/A,#N/A,FALSE,"PYG"}</definedName>
    <definedName name="anex" hidden="1">{#N/A,#N/A,FALSE,"balance";#N/A,#N/A,FALSE,"PYG"}</definedName>
    <definedName name="Anexo" localSheetId="6" hidden="1">{#N/A,#N/A,FALSE,"balance";#N/A,#N/A,FALSE,"PYG"}</definedName>
    <definedName name="Anexo" localSheetId="1" hidden="1">{#N/A,#N/A,FALSE,"balance";#N/A,#N/A,FALSE,"PYG"}</definedName>
    <definedName name="Anexo" localSheetId="4" hidden="1">{#N/A,#N/A,FALSE,"balance";#N/A,#N/A,FALSE,"PYG"}</definedName>
    <definedName name="Anexo" localSheetId="0" hidden="1">{#N/A,#N/A,FALSE,"balance";#N/A,#N/A,FALSE,"PYG"}</definedName>
    <definedName name="Anexo" localSheetId="3" hidden="1">{#N/A,#N/A,FALSE,"balance";#N/A,#N/A,FALSE,"PYG"}</definedName>
    <definedName name="Anexo" localSheetId="2" hidden="1">{#N/A,#N/A,FALSE,"balance";#N/A,#N/A,FALSE,"PYG"}</definedName>
    <definedName name="Anexo" localSheetId="5" hidden="1">{#N/A,#N/A,FALSE,"balance";#N/A,#N/A,FALSE,"PYG"}</definedName>
    <definedName name="Anexo" localSheetId="7" hidden="1">{#N/A,#N/A,FALSE,"balance";#N/A,#N/A,FALSE,"PYG"}</definedName>
    <definedName name="Anexo" hidden="1">{#N/A,#N/A,FALSE,"balance";#N/A,#N/A,FALSE,"PYG"}</definedName>
    <definedName name="Anexo19" localSheetId="6" hidden="1">{#N/A,#N/A,FALSE,"balance";#N/A,#N/A,FALSE,"PYG"}</definedName>
    <definedName name="Anexo19" localSheetId="1" hidden="1">{#N/A,#N/A,FALSE,"balance";#N/A,#N/A,FALSE,"PYG"}</definedName>
    <definedName name="Anexo19" localSheetId="4" hidden="1">{#N/A,#N/A,FALSE,"balance";#N/A,#N/A,FALSE,"PYG"}</definedName>
    <definedName name="Anexo19" localSheetId="0" hidden="1">{#N/A,#N/A,FALSE,"balance";#N/A,#N/A,FALSE,"PYG"}</definedName>
    <definedName name="Anexo19" localSheetId="3" hidden="1">{#N/A,#N/A,FALSE,"balance";#N/A,#N/A,FALSE,"PYG"}</definedName>
    <definedName name="Anexo19" localSheetId="2" hidden="1">{#N/A,#N/A,FALSE,"balance";#N/A,#N/A,FALSE,"PYG"}</definedName>
    <definedName name="Anexo19" localSheetId="5" hidden="1">{#N/A,#N/A,FALSE,"balance";#N/A,#N/A,FALSE,"PYG"}</definedName>
    <definedName name="Anexo19" localSheetId="7" hidden="1">{#N/A,#N/A,FALSE,"balance";#N/A,#N/A,FALSE,"PYG"}</definedName>
    <definedName name="Anexo19" hidden="1">{#N/A,#N/A,FALSE,"balance";#N/A,#N/A,FALSE,"PYG"}</definedName>
    <definedName name="ANEXO9" localSheetId="6" hidden="1">{#N/A,#N/A,FALSE,"balance";#N/A,#N/A,FALSE,"PYG"}</definedName>
    <definedName name="ANEXO9" localSheetId="1" hidden="1">{#N/A,#N/A,FALSE,"balance";#N/A,#N/A,FALSE,"PYG"}</definedName>
    <definedName name="ANEXO9" localSheetId="4" hidden="1">{#N/A,#N/A,FALSE,"balance";#N/A,#N/A,FALSE,"PYG"}</definedName>
    <definedName name="ANEXO9" localSheetId="0" hidden="1">{#N/A,#N/A,FALSE,"balance";#N/A,#N/A,FALSE,"PYG"}</definedName>
    <definedName name="ANEXO9" localSheetId="3" hidden="1">{#N/A,#N/A,FALSE,"balance";#N/A,#N/A,FALSE,"PYG"}</definedName>
    <definedName name="ANEXO9" localSheetId="2" hidden="1">{#N/A,#N/A,FALSE,"balance";#N/A,#N/A,FALSE,"PYG"}</definedName>
    <definedName name="ANEXO9" localSheetId="5" hidden="1">{#N/A,#N/A,FALSE,"balance";#N/A,#N/A,FALSE,"PYG"}</definedName>
    <definedName name="ANEXO9" localSheetId="7" hidden="1">{#N/A,#N/A,FALSE,"balance";#N/A,#N/A,FALSE,"PYG"}</definedName>
    <definedName name="ANEXO9" hidden="1">{#N/A,#N/A,FALSE,"balance";#N/A,#N/A,FALSE,"PYG"}</definedName>
    <definedName name="ANGEL" hidden="1">{#N/A,#N/A,FALSE,"GRAFICO";#N/A,#N/A,FALSE,"CAJA (2)";#N/A,#N/A,FALSE,"TERCEROS-PROMEDIO";#N/A,#N/A,FALSE,"CAJA";#N/A,#N/A,FALSE,"INGRESOS1995-2003";#N/A,#N/A,FALSE,"GASTOS1995-2003"}</definedName>
    <definedName name="anscount" hidden="1">1</definedName>
    <definedName name="ANULAR" localSheetId="4" hidden="1">{"'S. C. B.'!$E$207"}</definedName>
    <definedName name="ANULAR" localSheetId="3" hidden="1">{"'S. C. B.'!$E$207"}</definedName>
    <definedName name="ANULAR" localSheetId="2" hidden="1">{"'S. C. B.'!$E$207"}</definedName>
    <definedName name="ANULAR" hidden="1">{"'S. C. B.'!$E$207"}</definedName>
    <definedName name="ARC" hidden="1">#REF!</definedName>
    <definedName name="ARIEL" hidden="1">{#N/A,#N/A,FALSE,"balance";#N/A,#N/A,FALSE,"PYG"}</definedName>
    <definedName name="ARIELL" hidden="1">{#N/A,#N/A,FALSE,"balance";#N/A,#N/A,FALSE,"PYG"}</definedName>
    <definedName name="ARRENDAM1" localSheetId="4" hidden="1">{#N/A,#N/A,FALSE,"Aging Summary";#N/A,#N/A,FALSE,"Ratio Analysis";#N/A,#N/A,FALSE,"Test 120 Day Accts";#N/A,#N/A,FALSE,"Tickmarks"}</definedName>
    <definedName name="ARRENDAM1" localSheetId="3" hidden="1">{#N/A,#N/A,FALSE,"Aging Summary";#N/A,#N/A,FALSE,"Ratio Analysis";#N/A,#N/A,FALSE,"Test 120 Day Accts";#N/A,#N/A,FALSE,"Tickmarks"}</definedName>
    <definedName name="ARRENDAM1" localSheetId="2" hidden="1">{#N/A,#N/A,FALSE,"Aging Summary";#N/A,#N/A,FALSE,"Ratio Analysis";#N/A,#N/A,FALSE,"Test 120 Day Accts";#N/A,#N/A,FALSE,"Tickmarks"}</definedName>
    <definedName name="ARRENDAM1" hidden="1">{#N/A,#N/A,FALSE,"Aging Summary";#N/A,#N/A,FALSE,"Ratio Analysis";#N/A,#N/A,FALSE,"Test 120 Day Accts";#N/A,#N/A,FALSE,"Tickmarks"}</definedName>
    <definedName name="ARRENDAMIENTO" localSheetId="4" hidden="1">{#N/A,#N/A,FALSE,"Aging Summary";#N/A,#N/A,FALSE,"Ratio Analysis";#N/A,#N/A,FALSE,"Test 120 Day Accts";#N/A,#N/A,FALSE,"Tickmarks"}</definedName>
    <definedName name="ARRENDAMIENTO" localSheetId="3" hidden="1">{#N/A,#N/A,FALSE,"Aging Summary";#N/A,#N/A,FALSE,"Ratio Analysis";#N/A,#N/A,FALSE,"Test 120 Day Accts";#N/A,#N/A,FALSE,"Tickmarks"}</definedName>
    <definedName name="ARRENDAMIENTO" localSheetId="2" hidden="1">{#N/A,#N/A,FALSE,"Aging Summary";#N/A,#N/A,FALSE,"Ratio Analysis";#N/A,#N/A,FALSE,"Test 120 Day Accts";#N/A,#N/A,FALSE,"Tickmarks"}</definedName>
    <definedName name="ARRENDAMIENTO" hidden="1">{#N/A,#N/A,FALSE,"Aging Summary";#N/A,#N/A,FALSE,"Ratio Analysis";#N/A,#N/A,FALSE,"Test 120 Day Accts";#N/A,#N/A,FALSE,"Tickmarks"}</definedName>
    <definedName name="as" localSheetId="4" hidden="1">{#N/A,#N/A,TRUE,"Cond";#N/A,#N/A,TRUE,"Bce_hold";#N/A,#N/A,TRUE,"eerr_hold";#N/A,#N/A,TRUE,"eerr_prod";#N/A,#N/A,TRUE,"eerr_tipogtos";#N/A,#N/A,TRUE,"Flujo";#N/A,#N/A,TRUE,"Var_Ebit";#N/A,#N/A,TRUE,"Noa";#N/A,#N/A,TRUE,"Var_Noa"}</definedName>
    <definedName name="as" localSheetId="3" hidden="1">{#N/A,#N/A,TRUE,"Cond";#N/A,#N/A,TRUE,"Bce_hold";#N/A,#N/A,TRUE,"eerr_hold";#N/A,#N/A,TRUE,"eerr_prod";#N/A,#N/A,TRUE,"eerr_tipogtos";#N/A,#N/A,TRUE,"Flujo";#N/A,#N/A,TRUE,"Var_Ebit";#N/A,#N/A,TRUE,"Noa";#N/A,#N/A,TRUE,"Var_Noa"}</definedName>
    <definedName name="as" localSheetId="2" hidden="1">{#N/A,#N/A,TRUE,"Cond";#N/A,#N/A,TRUE,"Bce_hold";#N/A,#N/A,TRUE,"eerr_hold";#N/A,#N/A,TRUE,"eerr_prod";#N/A,#N/A,TRUE,"eerr_tipogtos";#N/A,#N/A,TRUE,"Flujo";#N/A,#N/A,TRUE,"Var_Ebit";#N/A,#N/A,TRUE,"Noa";#N/A,#N/A,TRUE,"Var_Noa"}</definedName>
    <definedName name="as" hidden="1">{#N/A,#N/A,TRUE,"Cond";#N/A,#N/A,TRUE,"Bce_hold";#N/A,#N/A,TRUE,"eerr_hold";#N/A,#N/A,TRUE,"eerr_prod";#N/A,#N/A,TRUE,"eerr_tipogtos";#N/A,#N/A,TRUE,"Flujo";#N/A,#N/A,TRUE,"Var_Ebit";#N/A,#N/A,TRUE,"Noa";#N/A,#N/A,TRUE,"Var_Noa"}</definedName>
    <definedName name="AS2DocOpenMode" hidden="1">"AS2DocumentEdit"</definedName>
    <definedName name="AS2HasNoAutoHeaderFooter" hidden="1">" "</definedName>
    <definedName name="AS2LinkLS" hidden="1">[6]Links!A1</definedName>
    <definedName name="AS2NamedRange" hidden="1">2</definedName>
    <definedName name="AS2ReportLS" hidden="1">1</definedName>
    <definedName name="AS2StaticLS" localSheetId="4" hidden="1">#REF!</definedName>
    <definedName name="AS2StaticLS" localSheetId="3" hidden="1">#REF!</definedName>
    <definedName name="AS2StaticLS" localSheetId="2" hidden="1">#REF!</definedName>
    <definedName name="AS2StaticLS" hidden="1">#REF!</definedName>
    <definedName name="AS2SyncStepLS" hidden="1">0</definedName>
    <definedName name="AS2TickmarkLS" localSheetId="1" hidden="1">#REF!</definedName>
    <definedName name="AS2TickmarkLS" localSheetId="4" hidden="1">#REF!</definedName>
    <definedName name="AS2TickmarkLS" localSheetId="0" hidden="1">#REF!</definedName>
    <definedName name="AS2TickmarkLS" localSheetId="3" hidden="1">#REF!</definedName>
    <definedName name="AS2TickmarkLS" localSheetId="2" hidden="1">#REF!</definedName>
    <definedName name="AS2TickmarkLS" hidden="1">#REF!</definedName>
    <definedName name="AS2VersionLS" hidden="1">300</definedName>
    <definedName name="ASASDADA" localSheetId="4" hidden="1">{"'S. C. B.'!$E$207"}</definedName>
    <definedName name="ASASDADA" localSheetId="3" hidden="1">{"'S. C. B.'!$E$207"}</definedName>
    <definedName name="ASASDADA" localSheetId="2" hidden="1">{"'S. C. B.'!$E$207"}</definedName>
    <definedName name="ASASDADA" hidden="1">{"'S. C. B.'!$E$207"}</definedName>
    <definedName name="asd" localSheetId="4" hidden="1">{#N/A,#N/A,TRUE,"TAPA ";"INDICE_CLP",#N/A,TRUE,"Indice";#N/A,#N/A,TRUE,"Cond";#N/A,#N/A,TRUE,"Bce_hold";#N/A,#N/A,TRUE,"eerr_hold";#N/A,#N/A,TRUE,"eerr_prod";#N/A,#N/A,TRUE,"eerr_tipogtos";#N/A,#N/A,TRUE,"Flujo";#N/A,#N/A,TRUE,"Var_Ebit";#N/A,#N/A,TRUE,"Noa";#N/A,#N/A,TRUE,"Var_Noa"}</definedName>
    <definedName name="asd" localSheetId="3" hidden="1">{#N/A,#N/A,TRUE,"TAPA ";"INDICE_CLP",#N/A,TRUE,"Indice";#N/A,#N/A,TRUE,"Cond";#N/A,#N/A,TRUE,"Bce_hold";#N/A,#N/A,TRUE,"eerr_hold";#N/A,#N/A,TRUE,"eerr_prod";#N/A,#N/A,TRUE,"eerr_tipogtos";#N/A,#N/A,TRUE,"Flujo";#N/A,#N/A,TRUE,"Var_Ebit";#N/A,#N/A,TRUE,"Noa";#N/A,#N/A,TRUE,"Var_Noa"}</definedName>
    <definedName name="asd" localSheetId="2" hidden="1">{#N/A,#N/A,TRUE,"TAPA ";"INDICE_CLP",#N/A,TRUE,"Indice";#N/A,#N/A,TRUE,"Cond";#N/A,#N/A,TRUE,"Bce_hold";#N/A,#N/A,TRUE,"eerr_hold";#N/A,#N/A,TRUE,"eerr_prod";#N/A,#N/A,TRUE,"eerr_tipogtos";#N/A,#N/A,TRUE,"Flujo";#N/A,#N/A,TRUE,"Var_Ebit";#N/A,#N/A,TRUE,"Noa";#N/A,#N/A,TRUE,"Var_Noa"}</definedName>
    <definedName name="asd" hidden="1">{#N/A,#N/A,TRUE,"TAPA ";"INDICE_CLP",#N/A,TRUE,"Indice";#N/A,#N/A,TRUE,"Cond";#N/A,#N/A,TRUE,"Bce_hold";#N/A,#N/A,TRUE,"eerr_hold";#N/A,#N/A,TRUE,"eerr_prod";#N/A,#N/A,TRUE,"eerr_tipogtos";#N/A,#N/A,TRUE,"Flujo";#N/A,#N/A,TRUE,"Var_Ebit";#N/A,#N/A,TRUE,"Noa";#N/A,#N/A,TRUE,"Var_Noa"}</definedName>
    <definedName name="asdf" localSheetId="6" hidden="1">{#N/A,#N/A,FALSE,"balance";#N/A,#N/A,FALSE,"PYG"}</definedName>
    <definedName name="asdf" localSheetId="1" hidden="1">{#N/A,#N/A,FALSE,"balance";#N/A,#N/A,FALSE,"PYG"}</definedName>
    <definedName name="asdf" localSheetId="4" hidden="1">{#N/A,#N/A,FALSE,"balance";#N/A,#N/A,FALSE,"PYG"}</definedName>
    <definedName name="asdf" localSheetId="0" hidden="1">{#N/A,#N/A,FALSE,"balance";#N/A,#N/A,FALSE,"PYG"}</definedName>
    <definedName name="asdf" localSheetId="3" hidden="1">{#N/A,#N/A,FALSE,"balance";#N/A,#N/A,FALSE,"PYG"}</definedName>
    <definedName name="asdf" localSheetId="2" hidden="1">{#N/A,#N/A,FALSE,"balance";#N/A,#N/A,FALSE,"PYG"}</definedName>
    <definedName name="asdf" localSheetId="5" hidden="1">{#N/A,#N/A,FALSE,"balance";#N/A,#N/A,FALSE,"PYG"}</definedName>
    <definedName name="asdf" localSheetId="7" hidden="1">{#N/A,#N/A,FALSE,"balance";#N/A,#N/A,FALSE,"PYG"}</definedName>
    <definedName name="asdf" hidden="1">{#N/A,#N/A,FALSE,"balance";#N/A,#N/A,FALSE,"PYG"}</definedName>
    <definedName name="asmdnand" localSheetId="4" hidden="1">{#N/A,#N/A,TRUE,"Cond";#N/A,#N/A,TRUE,"Bce_hold";#N/A,#N/A,TRUE,"eerr_hold";#N/A,#N/A,TRUE,"eerr_prod";#N/A,#N/A,TRUE,"eerr_tipogtos";#N/A,#N/A,TRUE,"Flujo";#N/A,#N/A,TRUE,"Var_Ebit";#N/A,#N/A,TRUE,"Noa";#N/A,#N/A,TRUE,"Var_Noa"}</definedName>
    <definedName name="asmdnand" localSheetId="3" hidden="1">{#N/A,#N/A,TRUE,"Cond";#N/A,#N/A,TRUE,"Bce_hold";#N/A,#N/A,TRUE,"eerr_hold";#N/A,#N/A,TRUE,"eerr_prod";#N/A,#N/A,TRUE,"eerr_tipogtos";#N/A,#N/A,TRUE,"Flujo";#N/A,#N/A,TRUE,"Var_Ebit";#N/A,#N/A,TRUE,"Noa";#N/A,#N/A,TRUE,"Var_Noa"}</definedName>
    <definedName name="asmdnand" localSheetId="2" hidden="1">{#N/A,#N/A,TRUE,"Cond";#N/A,#N/A,TRUE,"Bce_hold";#N/A,#N/A,TRUE,"eerr_hold";#N/A,#N/A,TRUE,"eerr_prod";#N/A,#N/A,TRUE,"eerr_tipogtos";#N/A,#N/A,TRUE,"Flujo";#N/A,#N/A,TRUE,"Var_Ebit";#N/A,#N/A,TRUE,"Noa";#N/A,#N/A,TRUE,"Var_Noa"}</definedName>
    <definedName name="asmdnand" hidden="1">{#N/A,#N/A,TRUE,"Cond";#N/A,#N/A,TRUE,"Bce_hold";#N/A,#N/A,TRUE,"eerr_hold";#N/A,#N/A,TRUE,"eerr_prod";#N/A,#N/A,TRUE,"eerr_tipogtos";#N/A,#N/A,TRUE,"Flujo";#N/A,#N/A,TRUE,"Var_Ebit";#N/A,#N/A,TRUE,"Noa";#N/A,#N/A,TRUE,"Var_Noa"}</definedName>
    <definedName name="assmmdn" localSheetId="4" hidden="1">{#N/A,#N/A,TRUE,"TAPA ";"INDICE_CLP",#N/A,TRUE,"Indice";#N/A,#N/A,TRUE,"Cond";#N/A,#N/A,TRUE,"Bce_hold";#N/A,#N/A,TRUE,"eerr_hold";#N/A,#N/A,TRUE,"eerr_prod";#N/A,#N/A,TRUE,"eerr_tipogtos";#N/A,#N/A,TRUE,"Flujo";#N/A,#N/A,TRUE,"Var_Ebit";#N/A,#N/A,TRUE,"Noa";#N/A,#N/A,TRUE,"Var_Noa"}</definedName>
    <definedName name="assmmdn" localSheetId="3" hidden="1">{#N/A,#N/A,TRUE,"TAPA ";"INDICE_CLP",#N/A,TRUE,"Indice";#N/A,#N/A,TRUE,"Cond";#N/A,#N/A,TRUE,"Bce_hold";#N/A,#N/A,TRUE,"eerr_hold";#N/A,#N/A,TRUE,"eerr_prod";#N/A,#N/A,TRUE,"eerr_tipogtos";#N/A,#N/A,TRUE,"Flujo";#N/A,#N/A,TRUE,"Var_Ebit";#N/A,#N/A,TRUE,"Noa";#N/A,#N/A,TRUE,"Var_Noa"}</definedName>
    <definedName name="assmmdn" localSheetId="2" hidden="1">{#N/A,#N/A,TRUE,"TAPA ";"INDICE_CLP",#N/A,TRUE,"Indice";#N/A,#N/A,TRUE,"Cond";#N/A,#N/A,TRUE,"Bce_hold";#N/A,#N/A,TRUE,"eerr_hold";#N/A,#N/A,TRUE,"eerr_prod";#N/A,#N/A,TRUE,"eerr_tipogtos";#N/A,#N/A,TRUE,"Flujo";#N/A,#N/A,TRUE,"Var_Ebit";#N/A,#N/A,TRUE,"Noa";#N/A,#N/A,TRUE,"Var_Noa"}</definedName>
    <definedName name="assmmdn" hidden="1">{#N/A,#N/A,TRUE,"TAPA ";"INDICE_CLP",#N/A,TRUE,"Indice";#N/A,#N/A,TRUE,"Cond";#N/A,#N/A,TRUE,"Bce_hold";#N/A,#N/A,TRUE,"eerr_hold";#N/A,#N/A,TRUE,"eerr_prod";#N/A,#N/A,TRUE,"eerr_tipogtos";#N/A,#N/A,TRUE,"Flujo";#N/A,#N/A,TRUE,"Var_Ebit";#N/A,#N/A,TRUE,"Noa";#N/A,#N/A,TRUE,"Var_Noa"}</definedName>
    <definedName name="b" localSheetId="6" hidden="1">{#N/A,#N/A,FALSE,"balance";#N/A,#N/A,FALSE,"PYG"}</definedName>
    <definedName name="b" localSheetId="1" hidden="1">{#N/A,#N/A,FALSE,"balance";#N/A,#N/A,FALSE,"PYG"}</definedName>
    <definedName name="b" localSheetId="4" hidden="1">{#N/A,#N/A,FALSE,"balance";#N/A,#N/A,FALSE,"PYG"}</definedName>
    <definedName name="b" localSheetId="0" hidden="1">{#N/A,#N/A,FALSE,"balance";#N/A,#N/A,FALSE,"PYG"}</definedName>
    <definedName name="b" localSheetId="3" hidden="1">{#N/A,#N/A,FALSE,"balance";#N/A,#N/A,FALSE,"PYG"}</definedName>
    <definedName name="b" localSheetId="2" hidden="1">{#N/A,#N/A,FALSE,"balance";#N/A,#N/A,FALSE,"PYG"}</definedName>
    <definedName name="b" localSheetId="5" hidden="1">{#N/A,#N/A,FALSE,"balance";#N/A,#N/A,FALSE,"PYG"}</definedName>
    <definedName name="b" localSheetId="7" hidden="1">{#N/A,#N/A,FALSE,"balance";#N/A,#N/A,FALSE,"PYG"}</definedName>
    <definedName name="b" hidden="1">{#N/A,#N/A,FALSE,"balance";#N/A,#N/A,FALSE,"PYG"}</definedName>
    <definedName name="BABAS" hidden="1">{#N/A,#N/A,FALSE,"Aging Summary";#N/A,#N/A,FALSE,"Ratio Analysis";#N/A,#N/A,FALSE,"Test 120 Day Accts";#N/A,#N/A,FALSE,"Tickmarks"}</definedName>
    <definedName name="BB" localSheetId="4" hidden="1">{"'S. C. B.'!$E$207"}</definedName>
    <definedName name="BB" localSheetId="3" hidden="1">{"'S. C. B.'!$E$207"}</definedName>
    <definedName name="BB" localSheetId="2" hidden="1">{"'S. C. B.'!$E$207"}</definedName>
    <definedName name="BB" hidden="1">{"'S. C. B.'!$E$207"}</definedName>
    <definedName name="BBBB" localSheetId="4" hidden="1">{"PYGT",#N/A,FALSE,"PYG";"ACTIT",#N/A,FALSE,"BCE_GRAL-ACTIVO";"PASIT",#N/A,FALSE,"BCE_GRAL-PASIVO-PATRIM";"CAJAT",#N/A,FALSE,"CAJA"}</definedName>
    <definedName name="BBBB" localSheetId="3" hidden="1">{"PYGT",#N/A,FALSE,"PYG";"ACTIT",#N/A,FALSE,"BCE_GRAL-ACTIVO";"PASIT",#N/A,FALSE,"BCE_GRAL-PASIVO-PATRIM";"CAJAT",#N/A,FALSE,"CAJA"}</definedName>
    <definedName name="BBBB" localSheetId="2" hidden="1">{"PYGT",#N/A,FALSE,"PYG";"ACTIT",#N/A,FALSE,"BCE_GRAL-ACTIVO";"PASIT",#N/A,FALSE,"BCE_GRAL-PASIVO-PATRIM";"CAJAT",#N/A,FALSE,"CAJA"}</definedName>
    <definedName name="BBBB" hidden="1">{"PYGT",#N/A,FALSE,"PYG";"ACTIT",#N/A,FALSE,"BCE_GRAL-ACTIVO";"PASIT",#N/A,FALSE,"BCE_GRAL-PASIVO-PATRIM";"CAJAT",#N/A,FALSE,"CAJA"}</definedName>
    <definedName name="BG_Del" hidden="1">15</definedName>
    <definedName name="BG_Ins" hidden="1">4</definedName>
    <definedName name="BG_Mod" hidden="1">6</definedName>
    <definedName name="cacao" hidden="1">{#N/A,#N/A,FALSE,"Aging Summary";#N/A,#N/A,FALSE,"Ratio Analysis";#N/A,#N/A,FALSE,"Test 120 Day Accts";#N/A,#N/A,FALSE,"Tickmarks"}</definedName>
    <definedName name="CALDO" hidden="1">{"PYGT",#N/A,FALSE,"PYG";"ACTIT",#N/A,FALSE,"BCE_GRAL-ACTIVO";"PASIT",#N/A,FALSE,"BCE_GRAL-PASIVO-PATRIM";"CAJAT",#N/A,FALSE,"CAJA"}</definedName>
    <definedName name="CALEND" hidden="1">{"'18'!$A$5:$M$18"}</definedName>
    <definedName name="CalendárioYear" localSheetId="8">#REF!</definedName>
    <definedName name="CalendárioYear">#REF!</definedName>
    <definedName name="CARLA" hidden="1">{#N/A,#N/A,FALSE,"GRAFICO";#N/A,#N/A,FALSE,"CAJA (2)";#N/A,#N/A,FALSE,"TERCEROS-PROMEDIO";#N/A,#N/A,FALSE,"CAJA";#N/A,#N/A,FALSE,"INGRESOS1995-2003";#N/A,#N/A,FALSE,"GASTOS1995-2003"}</definedName>
    <definedName name="CARLALUCIA" hidden="1">{#N/A,#N/A,FALSE,"Aging Summary";#N/A,#N/A,FALSE,"Ratio Analysis";#N/A,#N/A,FALSE,"Test 120 Day Accts";#N/A,#N/A,FALSE,"Tickmarks"}</definedName>
    <definedName name="CARLOS" hidden="1">{#N/A,#N/A,FALSE,"Aging Summary";#N/A,#N/A,FALSE,"Ratio Analysis";#N/A,#N/A,FALSE,"Test 120 Day Accts";#N/A,#N/A,FALSE,"Tickmarks"}</definedName>
    <definedName name="carne" hidden="1">{#N/A,#N/A,FALSE,"Aging Summary";#N/A,#N/A,FALSE,"Ratio Analysis";#N/A,#N/A,FALSE,"Test 120 Day Accts";#N/A,#N/A,FALSE,"Tickmarks"}</definedName>
    <definedName name="CARTERA_PP_DIC2008" hidden="1">{#N/A,#N/A,FALSE,"Full";#N/A,#N/A,FALSE,"Half";#N/A,#N/A,FALSE,"Op Expenses";#N/A,#N/A,FALSE,"Cap Charge";#N/A,#N/A,FALSE,"Cost C";#N/A,#N/A,FALSE,"PP&amp;E";#N/A,#N/A,FALSE,"R&amp;D"}</definedName>
    <definedName name="cas" hidden="1">{"'18'!$A$5:$M$18"}</definedName>
    <definedName name="casas" hidden="1">{"PYGT",#N/A,FALSE,"PYG";"ACTIT",#N/A,FALSE,"BCE_GRAL-ACTIVO";"PASIT",#N/A,FALSE,"BCE_GRAL-PASIVO-PATRIM";"CAJAT",#N/A,FALSE,"CAJA"}</definedName>
    <definedName name="CASINO" localSheetId="6" hidden="1">{#N/A,#N/A,FALSE,"balance";#N/A,#N/A,FALSE,"PYG"}</definedName>
    <definedName name="CASINO" localSheetId="1" hidden="1">{#N/A,#N/A,FALSE,"balance";#N/A,#N/A,FALSE,"PYG"}</definedName>
    <definedName name="CASINO" localSheetId="4" hidden="1">{#N/A,#N/A,FALSE,"balance";#N/A,#N/A,FALSE,"PYG"}</definedName>
    <definedName name="CASINO" localSheetId="0" hidden="1">{#N/A,#N/A,FALSE,"balance";#N/A,#N/A,FALSE,"PYG"}</definedName>
    <definedName name="CASINO" localSheetId="3" hidden="1">{#N/A,#N/A,FALSE,"balance";#N/A,#N/A,FALSE,"PYG"}</definedName>
    <definedName name="CASINO" localSheetId="2" hidden="1">{#N/A,#N/A,FALSE,"balance";#N/A,#N/A,FALSE,"PYG"}</definedName>
    <definedName name="CASINO" localSheetId="5" hidden="1">{#N/A,#N/A,FALSE,"balance";#N/A,#N/A,FALSE,"PYG"}</definedName>
    <definedName name="CASINO" localSheetId="7" hidden="1">{#N/A,#N/A,FALSE,"balance";#N/A,#N/A,FALSE,"PYG"}</definedName>
    <definedName name="CASINO" hidden="1">{#N/A,#N/A,FALSE,"balance";#N/A,#N/A,FALSE,"PYG"}</definedName>
    <definedName name="CBWorkbookPriority" hidden="1">-1906970393</definedName>
    <definedName name="CCCCCCCCCC" localSheetId="4" hidden="1">{#N/A,#N/A,FALSE,"Aging Summary";#N/A,#N/A,FALSE,"Ratio Analysis";#N/A,#N/A,FALSE,"Test 120 Day Accts";#N/A,#N/A,FALSE,"Tickmarks"}</definedName>
    <definedName name="CCCCCCCCCC" localSheetId="3" hidden="1">{#N/A,#N/A,FALSE,"Aging Summary";#N/A,#N/A,FALSE,"Ratio Analysis";#N/A,#N/A,FALSE,"Test 120 Day Accts";#N/A,#N/A,FALSE,"Tickmarks"}</definedName>
    <definedName name="CCCCCCCCCC" localSheetId="2" hidden="1">{#N/A,#N/A,FALSE,"Aging Summary";#N/A,#N/A,FALSE,"Ratio Analysis";#N/A,#N/A,FALSE,"Test 120 Day Accts";#N/A,#N/A,FALSE,"Tickmarks"}</definedName>
    <definedName name="CCCCCCCCCC" hidden="1">{#N/A,#N/A,FALSE,"Aging Summary";#N/A,#N/A,FALSE,"Ratio Analysis";#N/A,#N/A,FALSE,"Test 120 Day Accts";#N/A,#N/A,FALSE,"Tickmarks"}</definedName>
    <definedName name="CDAARA" localSheetId="4" hidden="1">{"'S. C. B.'!$E$207"}</definedName>
    <definedName name="CDAARA" localSheetId="3" hidden="1">{"'S. C. B.'!$E$207"}</definedName>
    <definedName name="CDAARA" localSheetId="2" hidden="1">{"'S. C. B.'!$E$207"}</definedName>
    <definedName name="CDAARA" hidden="1">{"'S. C. B.'!$E$207"}</definedName>
    <definedName name="CEBRA" hidden="1">{#N/A,#N/A,FALSE,"Aging Summary";#N/A,#N/A,FALSE,"Ratio Analysis";#N/A,#N/A,FALSE,"Test 120 Day Accts";#N/A,#N/A,FALSE,"Tickmarks"}</definedName>
    <definedName name="centro" hidden="1">{#N/A,#N/A,FALSE,"GRAFICO";#N/A,#N/A,FALSE,"CAJA (2)";#N/A,#N/A,FALSE,"TERCEROS-PROMEDIO";#N/A,#N/A,FALSE,"CAJA";#N/A,#N/A,FALSE,"INGRESOS1995-2003";#N/A,#N/A,FALSE,"GASTOS1995-2003"}</definedName>
    <definedName name="CFNAL" localSheetId="4" hidden="1">{"'S. C. B.'!$E$207"}</definedName>
    <definedName name="CFNAL" localSheetId="3" hidden="1">{"'S. C. B.'!$E$207"}</definedName>
    <definedName name="CFNAL" localSheetId="2" hidden="1">{"'S. C. B.'!$E$207"}</definedName>
    <definedName name="CFNAL" hidden="1">{"'S. C. B.'!$E$207"}</definedName>
    <definedName name="CLASIF" localSheetId="4" hidden="1">{"KWHTONTOTAL",#N/A,FALSE,"KWHTON"}</definedName>
    <definedName name="CLASIF" localSheetId="3" hidden="1">{"KWHTONTOTAL",#N/A,FALSE,"KWHTON"}</definedName>
    <definedName name="CLASIF" localSheetId="2" hidden="1">{"KWHTONTOTAL",#N/A,FALSE,"KWHTON"}</definedName>
    <definedName name="CLASIF" hidden="1">{"KWHTONTOTAL",#N/A,FALSE,"KWHTON"}</definedName>
    <definedName name="Code" localSheetId="4" hidden="1">#REF!</definedName>
    <definedName name="Code" localSheetId="3" hidden="1">#REF!</definedName>
    <definedName name="Code" localSheetId="2" hidden="1">#REF!</definedName>
    <definedName name="Code" hidden="1">#REF!</definedName>
    <definedName name="cola" hidden="1">{#N/A,#N/A,FALSE,"GRAFICO";#N/A,#N/A,FALSE,"CAJA (2)";#N/A,#N/A,FALSE,"TERCEROS-PROMEDIO";#N/A,#N/A,FALSE,"CAJA";#N/A,#N/A,FALSE,"INGRESOS1995-2003";#N/A,#N/A,FALSE,"GASTOS1995-2003"}</definedName>
    <definedName name="CONCILIACIONELECTROC" localSheetId="4" hidden="1">{#N/A,#N/A,FALSE,"Aging Summary";#N/A,#N/A,FALSE,"Ratio Analysis";#N/A,#N/A,FALSE,"Test 120 Day Accts";#N/A,#N/A,FALSE,"Tickmarks"}</definedName>
    <definedName name="CONCILIACIONELECTROC" localSheetId="3" hidden="1">{#N/A,#N/A,FALSE,"Aging Summary";#N/A,#N/A,FALSE,"Ratio Analysis";#N/A,#N/A,FALSE,"Test 120 Day Accts";#N/A,#N/A,FALSE,"Tickmarks"}</definedName>
    <definedName name="CONCILIACIONELECTROC" localSheetId="2" hidden="1">{#N/A,#N/A,FALSE,"Aging Summary";#N/A,#N/A,FALSE,"Ratio Analysis";#N/A,#N/A,FALSE,"Test 120 Day Accts";#N/A,#N/A,FALSE,"Tickmarks"}</definedName>
    <definedName name="CONCILIACIONELECTROC" hidden="1">{#N/A,#N/A,FALSE,"Aging Summary";#N/A,#N/A,FALSE,"Ratio Analysis";#N/A,#N/A,FALSE,"Test 120 Day Accts";#N/A,#N/A,FALSE,"Tickmarks"}</definedName>
    <definedName name="Concretos" localSheetId="6" hidden="1">{#N/A,#N/A,FALSE,"GP";#N/A,#N/A,FALSE,"Summary"}</definedName>
    <definedName name="Concretos" localSheetId="1" hidden="1">{#N/A,#N/A,FALSE,"GP";#N/A,#N/A,FALSE,"Summary"}</definedName>
    <definedName name="Concretos" localSheetId="4" hidden="1">{#N/A,#N/A,FALSE,"GP";#N/A,#N/A,FALSE,"Summary"}</definedName>
    <definedName name="Concretos" localSheetId="0" hidden="1">{#N/A,#N/A,FALSE,"GP";#N/A,#N/A,FALSE,"Summary"}</definedName>
    <definedName name="Concretos" localSheetId="3" hidden="1">{#N/A,#N/A,FALSE,"GP";#N/A,#N/A,FALSE,"Summary"}</definedName>
    <definedName name="Concretos" localSheetId="2" hidden="1">{#N/A,#N/A,FALSE,"GP";#N/A,#N/A,FALSE,"Summary"}</definedName>
    <definedName name="Concretos" localSheetId="5" hidden="1">{#N/A,#N/A,FALSE,"GP";#N/A,#N/A,FALSE,"Summary"}</definedName>
    <definedName name="Concretos" localSheetId="7" hidden="1">{#N/A,#N/A,FALSE,"GP";#N/A,#N/A,FALSE,"Summary"}</definedName>
    <definedName name="Concretos" hidden="1">{#N/A,#N/A,FALSE,"GP";#N/A,#N/A,FALSE,"Summary"}</definedName>
    <definedName name="corral" hidden="1">{#N/A,#N/A,FALSE,"GRAFICO";#N/A,#N/A,FALSE,"CAJA (2)";#N/A,#N/A,FALSE,"TERCEROS-PROMEDIO";#N/A,#N/A,FALSE,"CAJA";#N/A,#N/A,FALSE,"INGRESOS1995-2003";#N/A,#N/A,FALSE,"GASTOS1995-2003"}</definedName>
    <definedName name="CPR" hidden="1">{#N/A,#N/A,FALSE,"balance";#N/A,#N/A,FALSE,"PYG"}</definedName>
    <definedName name="crt" localSheetId="4" hidden="1">{#N/A,#N/A,FALSE,"GRAFICO";#N/A,#N/A,FALSE,"CAJA (2)";#N/A,#N/A,FALSE,"TERCEROS-PROMEDIO";#N/A,#N/A,FALSE,"CAJA";#N/A,#N/A,FALSE,"INGRESOS1995-2003";#N/A,#N/A,FALSE,"GASTOS1995-2003"}</definedName>
    <definedName name="crt" localSheetId="3" hidden="1">{#N/A,#N/A,FALSE,"GRAFICO";#N/A,#N/A,FALSE,"CAJA (2)";#N/A,#N/A,FALSE,"TERCEROS-PROMEDIO";#N/A,#N/A,FALSE,"CAJA";#N/A,#N/A,FALSE,"INGRESOS1995-2003";#N/A,#N/A,FALSE,"GASTOS1995-2003"}</definedName>
    <definedName name="crt" localSheetId="2" hidden="1">{#N/A,#N/A,FALSE,"GRAFICO";#N/A,#N/A,FALSE,"CAJA (2)";#N/A,#N/A,FALSE,"TERCEROS-PROMEDIO";#N/A,#N/A,FALSE,"CAJA";#N/A,#N/A,FALSE,"INGRESOS1995-2003";#N/A,#N/A,FALSE,"GASTOS1995-2003"}</definedName>
    <definedName name="crt" hidden="1">{#N/A,#N/A,FALSE,"GRAFICO";#N/A,#N/A,FALSE,"CAJA (2)";#N/A,#N/A,FALSE,"TERCEROS-PROMEDIO";#N/A,#N/A,FALSE,"CAJA";#N/A,#N/A,FALSE,"INGRESOS1995-2003";#N/A,#N/A,FALSE,"GASTOS1995-2003"}</definedName>
    <definedName name="CTALA" hidden="1">{#N/A,#N/A,FALSE,"Aging Summary";#N/A,#N/A,FALSE,"Ratio Analysis";#N/A,#N/A,FALSE,"Test 120 Day Accts";#N/A,#N/A,FALSE,"Tickmarks"}</definedName>
    <definedName name="CUADRE" localSheetId="4" hidden="1">{#N/A,#N/A,FALSE,"Aging Summary";#N/A,#N/A,FALSE,"Ratio Analysis";#N/A,#N/A,FALSE,"Test 120 Day Accts";#N/A,#N/A,FALSE,"Tickmarks"}</definedName>
    <definedName name="CUADRE" localSheetId="3" hidden="1">{#N/A,#N/A,FALSE,"Aging Summary";#N/A,#N/A,FALSE,"Ratio Analysis";#N/A,#N/A,FALSE,"Test 120 Day Accts";#N/A,#N/A,FALSE,"Tickmarks"}</definedName>
    <definedName name="CUADRE" localSheetId="2" hidden="1">{#N/A,#N/A,FALSE,"Aging Summary";#N/A,#N/A,FALSE,"Ratio Analysis";#N/A,#N/A,FALSE,"Test 120 Day Accts";#N/A,#N/A,FALSE,"Tickmarks"}</definedName>
    <definedName name="CUADRE" hidden="1">{#N/A,#N/A,FALSE,"Aging Summary";#N/A,#N/A,FALSE,"Ratio Analysis";#N/A,#N/A,FALSE,"Test 120 Day Accts";#N/A,#N/A,FALSE,"Tickmarks"}</definedName>
    <definedName name="CX" localSheetId="4" hidden="1">{#N/A,#N/A,FALSE,"Aging Summary";#N/A,#N/A,FALSE,"Ratio Analysis";#N/A,#N/A,FALSE,"Test 120 Day Accts";#N/A,#N/A,FALSE,"Tickmarks"}</definedName>
    <definedName name="CX" localSheetId="3" hidden="1">{#N/A,#N/A,FALSE,"Aging Summary";#N/A,#N/A,FALSE,"Ratio Analysis";#N/A,#N/A,FALSE,"Test 120 Day Accts";#N/A,#N/A,FALSE,"Tickmarks"}</definedName>
    <definedName name="CX" localSheetId="2" hidden="1">{#N/A,#N/A,FALSE,"Aging Summary";#N/A,#N/A,FALSE,"Ratio Analysis";#N/A,#N/A,FALSE,"Test 120 Day Accts";#N/A,#N/A,FALSE,"Tickmarks"}</definedName>
    <definedName name="CX" hidden="1">{#N/A,#N/A,FALSE,"Aging Summary";#N/A,#N/A,FALSE,"Ratio Analysis";#N/A,#N/A,FALSE,"Test 120 Day Accts";#N/A,#N/A,FALSE,"Tickmarks"}</definedName>
    <definedName name="D" localSheetId="4" hidden="1">{"'S. C. B.'!$E$207"}</definedName>
    <definedName name="D" localSheetId="3" hidden="1">{"'S. C. B.'!$E$207"}</definedName>
    <definedName name="D" localSheetId="2" hidden="1">{"'S. C. B.'!$E$207"}</definedName>
    <definedName name="D" hidden="1">{"'S. C. B.'!$E$207"}</definedName>
    <definedName name="DARWERWETWRET" localSheetId="4" hidden="1">{"'S. C. B.'!$E$207"}</definedName>
    <definedName name="DARWERWETWRET" localSheetId="3" hidden="1">{"'S. C. B.'!$E$207"}</definedName>
    <definedName name="DARWERWETWRET" localSheetId="2" hidden="1">{"'S. C. B.'!$E$207"}</definedName>
    <definedName name="DARWERWETWRET" hidden="1">{"'S. C. B.'!$E$207"}</definedName>
    <definedName name="das" localSheetId="4" hidden="1">{"'S. C. B.'!$E$207"}</definedName>
    <definedName name="das" localSheetId="3" hidden="1">{"'S. C. B.'!$E$207"}</definedName>
    <definedName name="das" localSheetId="2" hidden="1">{"'S. C. B.'!$E$207"}</definedName>
    <definedName name="das" hidden="1">{"'S. C. B.'!$E$207"}</definedName>
    <definedName name="data1" localSheetId="4" hidden="1">#REF!</definedName>
    <definedName name="data1" localSheetId="3" hidden="1">#REF!</definedName>
    <definedName name="data1" localSheetId="2" hidden="1">#REF!</definedName>
    <definedName name="data1" hidden="1">#REF!</definedName>
    <definedName name="data2" localSheetId="4" hidden="1">#REF!</definedName>
    <definedName name="data2" localSheetId="3" hidden="1">#REF!</definedName>
    <definedName name="data2" localSheetId="2" hidden="1">#REF!</definedName>
    <definedName name="data2" hidden="1">#REF!</definedName>
    <definedName name="data3" localSheetId="4" hidden="1">#REF!</definedName>
    <definedName name="data3" localSheetId="3" hidden="1">#REF!</definedName>
    <definedName name="data3" localSheetId="2" hidden="1">#REF!</definedName>
    <definedName name="data3" hidden="1">#REF!</definedName>
    <definedName name="dd" localSheetId="6" hidden="1">{#N/A,#N/A,FALSE,"balance";#N/A,#N/A,FALSE,"PYG"}</definedName>
    <definedName name="dd" localSheetId="1" hidden="1">{#N/A,#N/A,FALSE,"balance";#N/A,#N/A,FALSE,"PYG"}</definedName>
    <definedName name="dd" localSheetId="4" hidden="1">{#N/A,#N/A,FALSE,"balance";#N/A,#N/A,FALSE,"PYG"}</definedName>
    <definedName name="dd" localSheetId="0" hidden="1">{#N/A,#N/A,FALSE,"balance";#N/A,#N/A,FALSE,"PYG"}</definedName>
    <definedName name="dd" localSheetId="3" hidden="1">{#N/A,#N/A,FALSE,"balance";#N/A,#N/A,FALSE,"PYG"}</definedName>
    <definedName name="dd" localSheetId="2" hidden="1">{#N/A,#N/A,FALSE,"balance";#N/A,#N/A,FALSE,"PYG"}</definedName>
    <definedName name="dd" localSheetId="5" hidden="1">{#N/A,#N/A,FALSE,"balance";#N/A,#N/A,FALSE,"PYG"}</definedName>
    <definedName name="dd" localSheetId="7" hidden="1">{#N/A,#N/A,FALSE,"balance";#N/A,#N/A,FALSE,"PYG"}</definedName>
    <definedName name="dd" hidden="1">{#N/A,#N/A,FALSE,"balance";#N/A,#N/A,FALSE,"PYG"}</definedName>
    <definedName name="DDDDDD" localSheetId="4" hidden="1">{"PYGS",#N/A,FALSE,"PYG";"ACTIS",#N/A,FALSE,"BCE_GRAL-ACTIVO";"PASIS",#N/A,FALSE,"BCE_GRAL-PASIVO-PATRIM";"CAJAS",#N/A,FALSE,"CAJA"}</definedName>
    <definedName name="DDDDDD" localSheetId="3" hidden="1">{"PYGS",#N/A,FALSE,"PYG";"ACTIS",#N/A,FALSE,"BCE_GRAL-ACTIVO";"PASIS",#N/A,FALSE,"BCE_GRAL-PASIVO-PATRIM";"CAJAS",#N/A,FALSE,"CAJA"}</definedName>
    <definedName name="DDDDDD" localSheetId="2" hidden="1">{"PYGS",#N/A,FALSE,"PYG";"ACTIS",#N/A,FALSE,"BCE_GRAL-ACTIVO";"PASIS",#N/A,FALSE,"BCE_GRAL-PASIVO-PATRIM";"CAJAS",#N/A,FALSE,"CAJA"}</definedName>
    <definedName name="DDDDDD" hidden="1">{"PYGS",#N/A,FALSE,"PYG";"ACTIS",#N/A,FALSE,"BCE_GRAL-ACTIVO";"PASIS",#N/A,FALSE,"BCE_GRAL-PASIVO-PATRIM";"CAJAS",#N/A,FALSE,"CAJA"}</definedName>
    <definedName name="ddddddd" localSheetId="4" hidden="1">{#N/A,#N/A,TRUE,"Cond";#N/A,#N/A,TRUE,"Bce_hold";#N/A,#N/A,TRUE,"eerr_hold";#N/A,#N/A,TRUE,"eerr_prod";#N/A,#N/A,TRUE,"eerr_tipogtos";#N/A,#N/A,TRUE,"Flujo";#N/A,#N/A,TRUE,"Var_Ebit";#N/A,#N/A,TRUE,"Noa";#N/A,#N/A,TRUE,"Var_Noa"}</definedName>
    <definedName name="ddddddd" localSheetId="3" hidden="1">{#N/A,#N/A,TRUE,"Cond";#N/A,#N/A,TRUE,"Bce_hold";#N/A,#N/A,TRUE,"eerr_hold";#N/A,#N/A,TRUE,"eerr_prod";#N/A,#N/A,TRUE,"eerr_tipogtos";#N/A,#N/A,TRUE,"Flujo";#N/A,#N/A,TRUE,"Var_Ebit";#N/A,#N/A,TRUE,"Noa";#N/A,#N/A,TRUE,"Var_Noa"}</definedName>
    <definedName name="ddddddd" localSheetId="2" hidden="1">{#N/A,#N/A,TRUE,"Cond";#N/A,#N/A,TRUE,"Bce_hold";#N/A,#N/A,TRUE,"eerr_hold";#N/A,#N/A,TRUE,"eerr_prod";#N/A,#N/A,TRUE,"eerr_tipogtos";#N/A,#N/A,TRUE,"Flujo";#N/A,#N/A,TRUE,"Var_Ebit";#N/A,#N/A,TRUE,"Noa";#N/A,#N/A,TRUE,"Var_Noa"}</definedName>
    <definedName name="ddddddd" hidden="1">{#N/A,#N/A,TRUE,"Cond";#N/A,#N/A,TRUE,"Bce_hold";#N/A,#N/A,TRUE,"eerr_hold";#N/A,#N/A,TRUE,"eerr_prod";#N/A,#N/A,TRUE,"eerr_tipogtos";#N/A,#N/A,TRUE,"Flujo";#N/A,#N/A,TRUE,"Var_Ebit";#N/A,#N/A,TRUE,"Noa";#N/A,#N/A,TRUE,"Var_Noa"}</definedName>
    <definedName name="ddr" localSheetId="6" hidden="1">{#N/A,#N/A,FALSE,"balance";#N/A,#N/A,FALSE,"PYG"}</definedName>
    <definedName name="ddr" localSheetId="1" hidden="1">{#N/A,#N/A,FALSE,"balance";#N/A,#N/A,FALSE,"PYG"}</definedName>
    <definedName name="ddr" localSheetId="4" hidden="1">{#N/A,#N/A,FALSE,"balance";#N/A,#N/A,FALSE,"PYG"}</definedName>
    <definedName name="ddr" localSheetId="0" hidden="1">{#N/A,#N/A,FALSE,"balance";#N/A,#N/A,FALSE,"PYG"}</definedName>
    <definedName name="ddr" localSheetId="3" hidden="1">{#N/A,#N/A,FALSE,"balance";#N/A,#N/A,FALSE,"PYG"}</definedName>
    <definedName name="ddr" localSheetId="2" hidden="1">{#N/A,#N/A,FALSE,"balance";#N/A,#N/A,FALSE,"PYG"}</definedName>
    <definedName name="ddr" localSheetId="5" hidden="1">{#N/A,#N/A,FALSE,"balance";#N/A,#N/A,FALSE,"PYG"}</definedName>
    <definedName name="ddr" localSheetId="7" hidden="1">{#N/A,#N/A,FALSE,"balance";#N/A,#N/A,FALSE,"PYG"}</definedName>
    <definedName name="ddr" hidden="1">{#N/A,#N/A,FALSE,"balance";#N/A,#N/A,FALSE,"PYG"}</definedName>
    <definedName name="ddsddsa" localSheetId="4" hidden="1">{#N/A,#N/A,TRUE,"TAPA ";"INDICE_CLP",#N/A,TRUE,"Indice";#N/A,#N/A,TRUE,"Cond";#N/A,#N/A,TRUE,"Bce_hold";#N/A,#N/A,TRUE,"eerr_hold";#N/A,#N/A,TRUE,"eerr_prod";#N/A,#N/A,TRUE,"eerr_tipogtos";#N/A,#N/A,TRUE,"Flujo";#N/A,#N/A,TRUE,"Var_Ebit";#N/A,#N/A,TRUE,"Noa";#N/A,#N/A,TRUE,"Var_Noa"}</definedName>
    <definedName name="ddsddsa" localSheetId="3" hidden="1">{#N/A,#N/A,TRUE,"TAPA ";"INDICE_CLP",#N/A,TRUE,"Indice";#N/A,#N/A,TRUE,"Cond";#N/A,#N/A,TRUE,"Bce_hold";#N/A,#N/A,TRUE,"eerr_hold";#N/A,#N/A,TRUE,"eerr_prod";#N/A,#N/A,TRUE,"eerr_tipogtos";#N/A,#N/A,TRUE,"Flujo";#N/A,#N/A,TRUE,"Var_Ebit";#N/A,#N/A,TRUE,"Noa";#N/A,#N/A,TRUE,"Var_Noa"}</definedName>
    <definedName name="ddsddsa" localSheetId="2" hidden="1">{#N/A,#N/A,TRUE,"TAPA ";"INDICE_CLP",#N/A,TRUE,"Indice";#N/A,#N/A,TRUE,"Cond";#N/A,#N/A,TRUE,"Bce_hold";#N/A,#N/A,TRUE,"eerr_hold";#N/A,#N/A,TRUE,"eerr_prod";#N/A,#N/A,TRUE,"eerr_tipogtos";#N/A,#N/A,TRUE,"Flujo";#N/A,#N/A,TRUE,"Var_Ebit";#N/A,#N/A,TRUE,"Noa";#N/A,#N/A,TRUE,"Var_Noa"}</definedName>
    <definedName name="ddsddsa" hidden="1">{#N/A,#N/A,TRUE,"TAPA ";"INDICE_CLP",#N/A,TRUE,"Indice";#N/A,#N/A,TRUE,"Cond";#N/A,#N/A,TRUE,"Bce_hold";#N/A,#N/A,TRUE,"eerr_hold";#N/A,#N/A,TRUE,"eerr_prod";#N/A,#N/A,TRUE,"eerr_tipogtos";#N/A,#N/A,TRUE,"Flujo";#N/A,#N/A,TRUE,"Var_Ebit";#N/A,#N/A,TRUE,"Noa";#N/A,#N/A,TRUE,"Var_Noa"}</definedName>
    <definedName name="de" localSheetId="4" hidden="1">{"'S. C. B.'!$E$207"}</definedName>
    <definedName name="de" localSheetId="3" hidden="1">{"'S. C. B.'!$E$207"}</definedName>
    <definedName name="de" localSheetId="2" hidden="1">{"'S. C. B.'!$E$207"}</definedName>
    <definedName name="de" hidden="1">{"'S. C. B.'!$E$207"}</definedName>
    <definedName name="DEOL" localSheetId="4" hidden="1">{"'S. C. B.'!$E$207"}</definedName>
    <definedName name="DEOL" localSheetId="3" hidden="1">{"'S. C. B.'!$E$207"}</definedName>
    <definedName name="DEOL" localSheetId="2" hidden="1">{"'S. C. B.'!$E$207"}</definedName>
    <definedName name="DEOL" hidden="1">{"'S. C. B.'!$E$207"}</definedName>
    <definedName name="DESFRE" hidden="1">{#N/A,#N/A,FALSE,"GRAFICO";#N/A,#N/A,FALSE,"CAJA (2)";#N/A,#N/A,FALSE,"TERCEROS-PROMEDIO";#N/A,#N/A,FALSE,"CAJA";#N/A,#N/A,FALSE,"INGRESOS1995-2003";#N/A,#N/A,FALSE,"GASTOS1995-2003"}</definedName>
    <definedName name="DEVOLUCIONES" localSheetId="4" hidden="1">{"'S. C. B.'!$E$207"}</definedName>
    <definedName name="DEVOLUCIONES" localSheetId="3" hidden="1">{"'S. C. B.'!$E$207"}</definedName>
    <definedName name="DEVOLUCIONES" localSheetId="2" hidden="1">{"'S. C. B.'!$E$207"}</definedName>
    <definedName name="DEVOLUCIONES" hidden="1">{"'S. C. B.'!$E$207"}</definedName>
    <definedName name="df" localSheetId="4" hidden="1">{#N/A,#N/A,TRUE,"TAPA ";"INDICE_CLP",#N/A,TRUE,"Indice";#N/A,#N/A,TRUE,"Cond";#N/A,#N/A,TRUE,"Bce_hold";#N/A,#N/A,TRUE,"eerr_hold";#N/A,#N/A,TRUE,"eerr_prod";#N/A,#N/A,TRUE,"eerr_tipogtos";#N/A,#N/A,TRUE,"Flujo";#N/A,#N/A,TRUE,"Var_Ebit";#N/A,#N/A,TRUE,"Noa";#N/A,#N/A,TRUE,"Var_Noa"}</definedName>
    <definedName name="df" localSheetId="3" hidden="1">{#N/A,#N/A,TRUE,"TAPA ";"INDICE_CLP",#N/A,TRUE,"Indice";#N/A,#N/A,TRUE,"Cond";#N/A,#N/A,TRUE,"Bce_hold";#N/A,#N/A,TRUE,"eerr_hold";#N/A,#N/A,TRUE,"eerr_prod";#N/A,#N/A,TRUE,"eerr_tipogtos";#N/A,#N/A,TRUE,"Flujo";#N/A,#N/A,TRUE,"Var_Ebit";#N/A,#N/A,TRUE,"Noa";#N/A,#N/A,TRUE,"Var_Noa"}</definedName>
    <definedName name="df" localSheetId="2" hidden="1">{#N/A,#N/A,TRUE,"TAPA ";"INDICE_CLP",#N/A,TRUE,"Indice";#N/A,#N/A,TRUE,"Cond";#N/A,#N/A,TRUE,"Bce_hold";#N/A,#N/A,TRUE,"eerr_hold";#N/A,#N/A,TRUE,"eerr_prod";#N/A,#N/A,TRUE,"eerr_tipogtos";#N/A,#N/A,TRUE,"Flujo";#N/A,#N/A,TRUE,"Var_Ebit";#N/A,#N/A,TRUE,"Noa";#N/A,#N/A,TRUE,"Var_Noa"}</definedName>
    <definedName name="df" hidden="1">{#N/A,#N/A,TRUE,"TAPA ";"INDICE_CLP",#N/A,TRUE,"Indice";#N/A,#N/A,TRUE,"Cond";#N/A,#N/A,TRUE,"Bce_hold";#N/A,#N/A,TRUE,"eerr_hold";#N/A,#N/A,TRUE,"eerr_prod";#N/A,#N/A,TRUE,"eerr_tipogtos";#N/A,#N/A,TRUE,"Flujo";#N/A,#N/A,TRUE,"Var_Ebit";#N/A,#N/A,TRUE,"Noa";#N/A,#N/A,TRUE,"Var_Noa"}</definedName>
    <definedName name="dffff" localSheetId="6" hidden="1">{#N/A,#N/A,FALSE,"balance";#N/A,#N/A,FALSE,"PYG"}</definedName>
    <definedName name="dffff" localSheetId="1" hidden="1">{#N/A,#N/A,FALSE,"balance";#N/A,#N/A,FALSE,"PYG"}</definedName>
    <definedName name="dffff" localSheetId="4" hidden="1">{#N/A,#N/A,FALSE,"balance";#N/A,#N/A,FALSE,"PYG"}</definedName>
    <definedName name="dffff" localSheetId="0" hidden="1">{#N/A,#N/A,FALSE,"balance";#N/A,#N/A,FALSE,"PYG"}</definedName>
    <definedName name="dffff" localSheetId="3" hidden="1">{#N/A,#N/A,FALSE,"balance";#N/A,#N/A,FALSE,"PYG"}</definedName>
    <definedName name="dffff" localSheetId="2" hidden="1">{#N/A,#N/A,FALSE,"balance";#N/A,#N/A,FALSE,"PYG"}</definedName>
    <definedName name="dffff" localSheetId="5" hidden="1">{#N/A,#N/A,FALSE,"balance";#N/A,#N/A,FALSE,"PYG"}</definedName>
    <definedName name="dffff" localSheetId="7" hidden="1">{#N/A,#N/A,FALSE,"balance";#N/A,#N/A,FALSE,"PYG"}</definedName>
    <definedName name="dffff" hidden="1">{#N/A,#N/A,FALSE,"balance";#N/A,#N/A,FALSE,"PYG"}</definedName>
    <definedName name="dfg" localSheetId="6" hidden="1">{#N/A,#N/A,FALSE,"balance";#N/A,#N/A,FALSE,"PYG"}</definedName>
    <definedName name="dfg" localSheetId="1" hidden="1">{#N/A,#N/A,FALSE,"balance";#N/A,#N/A,FALSE,"PYG"}</definedName>
    <definedName name="dfg" localSheetId="4" hidden="1">{#N/A,#N/A,FALSE,"balance";#N/A,#N/A,FALSE,"PYG"}</definedName>
    <definedName name="dfg" localSheetId="0" hidden="1">{#N/A,#N/A,FALSE,"balance";#N/A,#N/A,FALSE,"PYG"}</definedName>
    <definedName name="dfg" localSheetId="3" hidden="1">{#N/A,#N/A,FALSE,"balance";#N/A,#N/A,FALSE,"PYG"}</definedName>
    <definedName name="dfg" localSheetId="2" hidden="1">{#N/A,#N/A,FALSE,"balance";#N/A,#N/A,FALSE,"PYG"}</definedName>
    <definedName name="dfg" localSheetId="5" hidden="1">{#N/A,#N/A,FALSE,"balance";#N/A,#N/A,FALSE,"PYG"}</definedName>
    <definedName name="dfg" localSheetId="7" hidden="1">{#N/A,#N/A,FALSE,"balance";#N/A,#N/A,FALSE,"PYG"}</definedName>
    <definedName name="dfg" hidden="1">{#N/A,#N/A,FALSE,"balance";#N/A,#N/A,FALSE,"PYG"}</definedName>
    <definedName name="DiasDaSemana" localSheetId="8">{"SEGUNDA-FEIRA","TERÇA-FEIRA","QUARTA-FEIRA","QUINTA-FEIRA","SEXTA-FEIRA","Sábado","Domingo"}</definedName>
    <definedName name="DiasDaSemana">{"SEGUNDA-FEIRA","TERÇA-FEIRA","QUARTA-FEIRA","QUINTA-FEIRA","SEXTA-FEIRA","Sábado","Domingo"}</definedName>
    <definedName name="DiasESemanas" localSheetId="8">{0,1,2,3,4,5,6} + {0;1;2;3;4;5}*7</definedName>
    <definedName name="DiasESemanas">{0,1,2,3,4,5,6} + {0;1;2;3;4;5}*7</definedName>
    <definedName name="Discount" localSheetId="4" hidden="1">#REF!</definedName>
    <definedName name="Discount" localSheetId="3" hidden="1">#REF!</definedName>
    <definedName name="Discount" localSheetId="2" hidden="1">#REF!</definedName>
    <definedName name="Discount" hidden="1">#REF!</definedName>
    <definedName name="display_area_2" localSheetId="4" hidden="1">#REF!</definedName>
    <definedName name="display_area_2" localSheetId="3" hidden="1">#REF!</definedName>
    <definedName name="display_area_2" localSheetId="2" hidden="1">#REF!</definedName>
    <definedName name="display_area_2" hidden="1">#REF!</definedName>
    <definedName name="divi" localSheetId="4" hidden="1">{"'S. C. B.'!$E$207"}</definedName>
    <definedName name="divi" localSheetId="3" hidden="1">{"'S. C. B.'!$E$207"}</definedName>
    <definedName name="divi" localSheetId="2" hidden="1">{"'S. C. B.'!$E$207"}</definedName>
    <definedName name="divi" hidden="1">{"'S. C. B.'!$E$207"}</definedName>
    <definedName name="DME_Dirty" hidden="1">"Falso"</definedName>
    <definedName name="DME_DocumentFlags" hidden="1">"1"</definedName>
    <definedName name="DME_DocumentID" hidden="1">"::ODMA\DME-MSE\PC-37552"</definedName>
    <definedName name="DME_DocumentOpened" hidden="1">"Verdadero"</definedName>
    <definedName name="DME_DocumentTitle" hidden="1">"PC-37552 - formulario readquisición de acciones - epsa"</definedName>
    <definedName name="DME_LocalFile" hidden="1">"Falso"</definedName>
    <definedName name="DME_NextWindowNumber" hidden="1">"2"</definedName>
    <definedName name="Dos" hidden="1">{#N/A,#N/A,FALSE,"SMT1";#N/A,#N/A,FALSE,"SMT2";#N/A,#N/A,FALSE,"Summary";#N/A,#N/A,FALSE,"Graphs";#N/A,#N/A,FALSE,"4 Panel"}</definedName>
    <definedName name="dreant" localSheetId="4" hidden="1">{#N/A,#N/A,FALSE,"VENTAS";#N/A,#N/A,FALSE,"U. BRUTA";#N/A,#N/A,FALSE,"G. PERSONAL";#N/A,#N/A,FALSE,"G. OPERACION";#N/A,#N/A,FALSE,"G. DEPYAM";#N/A,#N/A,FALSE,"INGRESOS";#N/A,#N/A,FALSE,"G.o P.1";#N/A,#N/A,FALSE,"3%Informe Junta";#N/A,#N/A,FALSE,"P Y G (2)";#N/A,#N/A,FALSE,"CART. PROV.";#N/A,#N/A,FALSE,"Usecmes";#N/A,#N/A,FALSE,"Usecacu"}</definedName>
    <definedName name="dreant" localSheetId="3" hidden="1">{#N/A,#N/A,FALSE,"VENTAS";#N/A,#N/A,FALSE,"U. BRUTA";#N/A,#N/A,FALSE,"G. PERSONAL";#N/A,#N/A,FALSE,"G. OPERACION";#N/A,#N/A,FALSE,"G. DEPYAM";#N/A,#N/A,FALSE,"INGRESOS";#N/A,#N/A,FALSE,"G.o P.1";#N/A,#N/A,FALSE,"3%Informe Junta";#N/A,#N/A,FALSE,"P Y G (2)";#N/A,#N/A,FALSE,"CART. PROV.";#N/A,#N/A,FALSE,"Usecmes";#N/A,#N/A,FALSE,"Usecacu"}</definedName>
    <definedName name="dreant" localSheetId="2" hidden="1">{#N/A,#N/A,FALSE,"VENTAS";#N/A,#N/A,FALSE,"U. BRUTA";#N/A,#N/A,FALSE,"G. PERSONAL";#N/A,#N/A,FALSE,"G. OPERACION";#N/A,#N/A,FALSE,"G. DEPYAM";#N/A,#N/A,FALSE,"INGRESOS";#N/A,#N/A,FALSE,"G.o P.1";#N/A,#N/A,FALSE,"3%Informe Junta";#N/A,#N/A,FALSE,"P Y G (2)";#N/A,#N/A,FALSE,"CART. PROV.";#N/A,#N/A,FALSE,"Usecmes";#N/A,#N/A,FALSE,"Usecacu"}</definedName>
    <definedName name="dreant" hidden="1">{#N/A,#N/A,FALSE,"VENTAS";#N/A,#N/A,FALSE,"U. BRUTA";#N/A,#N/A,FALSE,"G. PERSONAL";#N/A,#N/A,FALSE,"G. OPERACION";#N/A,#N/A,FALSE,"G. DEPYAM";#N/A,#N/A,FALSE,"INGRESOS";#N/A,#N/A,FALSE,"G.o P.1";#N/A,#N/A,FALSE,"3%Informe Junta";#N/A,#N/A,FALSE,"P Y G (2)";#N/A,#N/A,FALSE,"CART. PROV.";#N/A,#N/A,FALSE,"Usecmes";#N/A,#N/A,FALSE,"Usecacu"}</definedName>
    <definedName name="droger" localSheetId="4" hidden="1">{#N/A,#N/A,FALSE,"VENTAS";#N/A,#N/A,FALSE,"U. BRUTA";#N/A,#N/A,FALSE,"G. PERSONAL";#N/A,#N/A,FALSE,"G. OPERACION";#N/A,#N/A,FALSE,"G. DEPYAM";#N/A,#N/A,FALSE,"INGRESOS";#N/A,#N/A,FALSE,"G.o P.1";#N/A,#N/A,FALSE,"3%Informe Junta";#N/A,#N/A,FALSE,"P Y G (2)";#N/A,#N/A,FALSE,"CART. PROV.";#N/A,#N/A,FALSE,"Usecmes";#N/A,#N/A,FALSE,"Usecacu"}</definedName>
    <definedName name="droger" localSheetId="3" hidden="1">{#N/A,#N/A,FALSE,"VENTAS";#N/A,#N/A,FALSE,"U. BRUTA";#N/A,#N/A,FALSE,"G. PERSONAL";#N/A,#N/A,FALSE,"G. OPERACION";#N/A,#N/A,FALSE,"G. DEPYAM";#N/A,#N/A,FALSE,"INGRESOS";#N/A,#N/A,FALSE,"G.o P.1";#N/A,#N/A,FALSE,"3%Informe Junta";#N/A,#N/A,FALSE,"P Y G (2)";#N/A,#N/A,FALSE,"CART. PROV.";#N/A,#N/A,FALSE,"Usecmes";#N/A,#N/A,FALSE,"Usecacu"}</definedName>
    <definedName name="droger" localSheetId="2" hidden="1">{#N/A,#N/A,FALSE,"VENTAS";#N/A,#N/A,FALSE,"U. BRUTA";#N/A,#N/A,FALSE,"G. PERSONAL";#N/A,#N/A,FALSE,"G. OPERACION";#N/A,#N/A,FALSE,"G. DEPYAM";#N/A,#N/A,FALSE,"INGRESOS";#N/A,#N/A,FALSE,"G.o P.1";#N/A,#N/A,FALSE,"3%Informe Junta";#N/A,#N/A,FALSE,"P Y G (2)";#N/A,#N/A,FALSE,"CART. PROV.";#N/A,#N/A,FALSE,"Usecmes";#N/A,#N/A,FALSE,"Usecacu"}</definedName>
    <definedName name="droger" hidden="1">{#N/A,#N/A,FALSE,"VENTAS";#N/A,#N/A,FALSE,"U. BRUTA";#N/A,#N/A,FALSE,"G. PERSONAL";#N/A,#N/A,FALSE,"G. OPERACION";#N/A,#N/A,FALSE,"G. DEPYAM";#N/A,#N/A,FALSE,"INGRESOS";#N/A,#N/A,FALSE,"G.o P.1";#N/A,#N/A,FALSE,"3%Informe Junta";#N/A,#N/A,FALSE,"P Y G (2)";#N/A,#N/A,FALSE,"CART. PROV.";#N/A,#N/A,FALSE,"Usecmes";#N/A,#N/A,FALSE,"Usecacu"}</definedName>
    <definedName name="DS" hidden="1">{#N/A,#N/A,FALSE,"Aging Summary";#N/A,#N/A,FALSE,"Ratio Analysis";#N/A,#N/A,FALSE,"Test 120 Day Accts";#N/A,#N/A,FALSE,"Tickmarks"}</definedName>
    <definedName name="dsdsddsd" localSheetId="4" hidden="1">{"INDICE_USD",#N/A,FALSE,"Indice";#N/A,#N/A,FALSE,"Condusd";#N/A,#N/A,FALSE,"Bce_holdusd";#N/A,#N/A,FALSE,"eerr_holdusd";#N/A,#N/A,FALSE,"eerr_produsd";#N/A,#N/A,FALSE,"eerr_tipogtosusd";#N/A,#N/A,FALSE,"Flujousd";#N/A,#N/A,FALSE,"Var_Ebitusd";#N/A,#N/A,FALSE,"Noausd";#N/A,#N/A,FALSE,"Var_Noausd"}</definedName>
    <definedName name="dsdsddsd" localSheetId="3" hidden="1">{"INDICE_USD",#N/A,FALSE,"Indice";#N/A,#N/A,FALSE,"Condusd";#N/A,#N/A,FALSE,"Bce_holdusd";#N/A,#N/A,FALSE,"eerr_holdusd";#N/A,#N/A,FALSE,"eerr_produsd";#N/A,#N/A,FALSE,"eerr_tipogtosusd";#N/A,#N/A,FALSE,"Flujousd";#N/A,#N/A,FALSE,"Var_Ebitusd";#N/A,#N/A,FALSE,"Noausd";#N/A,#N/A,FALSE,"Var_Noausd"}</definedName>
    <definedName name="dsdsddsd" localSheetId="2" hidden="1">{"INDICE_USD",#N/A,FALSE,"Indice";#N/A,#N/A,FALSE,"Condusd";#N/A,#N/A,FALSE,"Bce_holdusd";#N/A,#N/A,FALSE,"eerr_holdusd";#N/A,#N/A,FALSE,"eerr_produsd";#N/A,#N/A,FALSE,"eerr_tipogtosusd";#N/A,#N/A,FALSE,"Flujousd";#N/A,#N/A,FALSE,"Var_Ebitusd";#N/A,#N/A,FALSE,"Noausd";#N/A,#N/A,FALSE,"Var_Noausd"}</definedName>
    <definedName name="dsdsddsd" hidden="1">{"INDICE_USD",#N/A,FALSE,"Indice";#N/A,#N/A,FALSE,"Condusd";#N/A,#N/A,FALSE,"Bce_holdusd";#N/A,#N/A,FALSE,"eerr_holdusd";#N/A,#N/A,FALSE,"eerr_produsd";#N/A,#N/A,FALSE,"eerr_tipogtosusd";#N/A,#N/A,FALSE,"Flujousd";#N/A,#N/A,FALSE,"Var_Ebitusd";#N/A,#N/A,FALSE,"Noausd";#N/A,#N/A,FALSE,"Var_Noausd"}</definedName>
    <definedName name="DTF" localSheetId="4" hidden="1">{#N/A,#N/A,FALSE,"Aging Summary";#N/A,#N/A,FALSE,"Ratio Analysis";#N/A,#N/A,FALSE,"Test 120 Day Accts";#N/A,#N/A,FALSE,"Tickmarks"}</definedName>
    <definedName name="DTF" localSheetId="3" hidden="1">{#N/A,#N/A,FALSE,"Aging Summary";#N/A,#N/A,FALSE,"Ratio Analysis";#N/A,#N/A,FALSE,"Test 120 Day Accts";#N/A,#N/A,FALSE,"Tickmarks"}</definedName>
    <definedName name="DTF" localSheetId="2" hidden="1">{#N/A,#N/A,FALSE,"Aging Summary";#N/A,#N/A,FALSE,"Ratio Analysis";#N/A,#N/A,FALSE,"Test 120 Day Accts";#N/A,#N/A,FALSE,"Tickmarks"}</definedName>
    <definedName name="DTF" hidden="1">{#N/A,#N/A,FALSE,"Aging Summary";#N/A,#N/A,FALSE,"Ratio Analysis";#N/A,#N/A,FALSE,"Test 120 Day Accts";#N/A,#N/A,FALSE,"Tickmarks"}</definedName>
    <definedName name="ear" localSheetId="6" hidden="1">{#N/A,#N/A,FALSE,"balance";#N/A,#N/A,FALSE,"PYG"}</definedName>
    <definedName name="ear" localSheetId="1" hidden="1">{#N/A,#N/A,FALSE,"balance";#N/A,#N/A,FALSE,"PYG"}</definedName>
    <definedName name="ear" localSheetId="4" hidden="1">{#N/A,#N/A,FALSE,"balance";#N/A,#N/A,FALSE,"PYG"}</definedName>
    <definedName name="ear" localSheetId="0" hidden="1">{#N/A,#N/A,FALSE,"balance";#N/A,#N/A,FALSE,"PYG"}</definedName>
    <definedName name="ear" localSheetId="3" hidden="1">{#N/A,#N/A,FALSE,"balance";#N/A,#N/A,FALSE,"PYG"}</definedName>
    <definedName name="ear" localSheetId="2" hidden="1">{#N/A,#N/A,FALSE,"balance";#N/A,#N/A,FALSE,"PYG"}</definedName>
    <definedName name="ear" localSheetId="5" hidden="1">{#N/A,#N/A,FALSE,"balance";#N/A,#N/A,FALSE,"PYG"}</definedName>
    <definedName name="ear" localSheetId="7" hidden="1">{#N/A,#N/A,FALSE,"balance";#N/A,#N/A,FALSE,"PYG"}</definedName>
    <definedName name="ear" hidden="1">{#N/A,#N/A,FALSE,"balance";#N/A,#N/A,FALSE,"PYG"}</definedName>
    <definedName name="Ebitda" localSheetId="4" hidden="1">{#N/A,#N/A,FALSE,"GRAFICO";#N/A,#N/A,FALSE,"CAJA (2)";#N/A,#N/A,FALSE,"TERCEROS-PROMEDIO";#N/A,#N/A,FALSE,"CAJA";#N/A,#N/A,FALSE,"INGRESOS1995-2003";#N/A,#N/A,FALSE,"GASTOS1995-2003"}</definedName>
    <definedName name="Ebitda" localSheetId="3" hidden="1">{#N/A,#N/A,FALSE,"GRAFICO";#N/A,#N/A,FALSE,"CAJA (2)";#N/A,#N/A,FALSE,"TERCEROS-PROMEDIO";#N/A,#N/A,FALSE,"CAJA";#N/A,#N/A,FALSE,"INGRESOS1995-2003";#N/A,#N/A,FALSE,"GASTOS1995-2003"}</definedName>
    <definedName name="Ebitda" localSheetId="2" hidden="1">{#N/A,#N/A,FALSE,"GRAFICO";#N/A,#N/A,FALSE,"CAJA (2)";#N/A,#N/A,FALSE,"TERCEROS-PROMEDIO";#N/A,#N/A,FALSE,"CAJA";#N/A,#N/A,FALSE,"INGRESOS1995-2003";#N/A,#N/A,FALSE,"GASTOS1995-2003"}</definedName>
    <definedName name="Ebitda" hidden="1">{#N/A,#N/A,FALSE,"GRAFICO";#N/A,#N/A,FALSE,"CAJA (2)";#N/A,#N/A,FALSE,"TERCEROS-PROMEDIO";#N/A,#N/A,FALSE,"CAJA";#N/A,#N/A,FALSE,"INGRESOS1995-2003";#N/A,#N/A,FALSE,"GASTOS1995-2003"}</definedName>
    <definedName name="ee" localSheetId="6" hidden="1">{#N/A,#N/A,FALSE,"balance";#N/A,#N/A,FALSE,"PYG"}</definedName>
    <definedName name="ee" localSheetId="1" hidden="1">{#N/A,#N/A,FALSE,"balance";#N/A,#N/A,FALSE,"PYG"}</definedName>
    <definedName name="ee" localSheetId="4" hidden="1">{#N/A,#N/A,FALSE,"balance";#N/A,#N/A,FALSE,"PYG"}</definedName>
    <definedName name="ee" localSheetId="0" hidden="1">{#N/A,#N/A,FALSE,"balance";#N/A,#N/A,FALSE,"PYG"}</definedName>
    <definedName name="ee" localSheetId="3" hidden="1">{#N/A,#N/A,FALSE,"balance";#N/A,#N/A,FALSE,"PYG"}</definedName>
    <definedName name="ee" localSheetId="2" hidden="1">{#N/A,#N/A,FALSE,"balance";#N/A,#N/A,FALSE,"PYG"}</definedName>
    <definedName name="ee" localSheetId="5" hidden="1">{#N/A,#N/A,FALSE,"balance";#N/A,#N/A,FALSE,"PYG"}</definedName>
    <definedName name="ee" localSheetId="7" hidden="1">{#N/A,#N/A,FALSE,"balance";#N/A,#N/A,FALSE,"PYG"}</definedName>
    <definedName name="ee" hidden="1">{#N/A,#N/A,FALSE,"balance";#N/A,#N/A,FALSE,"PYG"}</definedName>
    <definedName name="eeeeeee" localSheetId="4" hidden="1">{#N/A,#N/A,TRUE,"TAPA ";"INDICE_CLP",#N/A,TRUE,"Indice";#N/A,#N/A,TRUE,"Cond";#N/A,#N/A,TRUE,"Bce_hold";#N/A,#N/A,TRUE,"eerr_hold";#N/A,#N/A,TRUE,"eerr_prod";#N/A,#N/A,TRUE,"eerr_tipogtos";#N/A,#N/A,TRUE,"Flujo";#N/A,#N/A,TRUE,"Var_Ebit";#N/A,#N/A,TRUE,"Noa";#N/A,#N/A,TRUE,"Var_Noa"}</definedName>
    <definedName name="eeeeeee" localSheetId="3" hidden="1">{#N/A,#N/A,TRUE,"TAPA ";"INDICE_CLP",#N/A,TRUE,"Indice";#N/A,#N/A,TRUE,"Cond";#N/A,#N/A,TRUE,"Bce_hold";#N/A,#N/A,TRUE,"eerr_hold";#N/A,#N/A,TRUE,"eerr_prod";#N/A,#N/A,TRUE,"eerr_tipogtos";#N/A,#N/A,TRUE,"Flujo";#N/A,#N/A,TRUE,"Var_Ebit";#N/A,#N/A,TRUE,"Noa";#N/A,#N/A,TRUE,"Var_Noa"}</definedName>
    <definedName name="eeeeeee" localSheetId="2" hidden="1">{#N/A,#N/A,TRUE,"TAPA ";"INDICE_CLP",#N/A,TRUE,"Indice";#N/A,#N/A,TRUE,"Cond";#N/A,#N/A,TRUE,"Bce_hold";#N/A,#N/A,TRUE,"eerr_hold";#N/A,#N/A,TRUE,"eerr_prod";#N/A,#N/A,TRUE,"eerr_tipogtos";#N/A,#N/A,TRUE,"Flujo";#N/A,#N/A,TRUE,"Var_Ebit";#N/A,#N/A,TRUE,"Noa";#N/A,#N/A,TRUE,"Var_Noa"}</definedName>
    <definedName name="eeeeeee" hidden="1">{#N/A,#N/A,TRUE,"TAPA ";"INDICE_CLP",#N/A,TRUE,"Indice";#N/A,#N/A,TRUE,"Cond";#N/A,#N/A,TRUE,"Bce_hold";#N/A,#N/A,TRUE,"eerr_hold";#N/A,#N/A,TRUE,"eerr_prod";#N/A,#N/A,TRUE,"eerr_tipogtos";#N/A,#N/A,TRUE,"Flujo";#N/A,#N/A,TRUE,"Var_Ebit";#N/A,#N/A,TRUE,"Noa";#N/A,#N/A,TRUE,"Var_Noa"}</definedName>
    <definedName name="eeeeeeee" localSheetId="4" hidden="1">{#N/A,#N/A,TRUE,"Cond";#N/A,#N/A,TRUE,"Bce_hold";#N/A,#N/A,TRUE,"eerr_hold";#N/A,#N/A,TRUE,"eerr_prod";#N/A,#N/A,TRUE,"eerr_tipogtos";#N/A,#N/A,TRUE,"Flujo";#N/A,#N/A,TRUE,"Var_Ebit";#N/A,#N/A,TRUE,"Noa";#N/A,#N/A,TRUE,"Var_Noa"}</definedName>
    <definedName name="eeeeeeee" localSheetId="3" hidden="1">{#N/A,#N/A,TRUE,"Cond";#N/A,#N/A,TRUE,"Bce_hold";#N/A,#N/A,TRUE,"eerr_hold";#N/A,#N/A,TRUE,"eerr_prod";#N/A,#N/A,TRUE,"eerr_tipogtos";#N/A,#N/A,TRUE,"Flujo";#N/A,#N/A,TRUE,"Var_Ebit";#N/A,#N/A,TRUE,"Noa";#N/A,#N/A,TRUE,"Var_Noa"}</definedName>
    <definedName name="eeeeeeee" localSheetId="2" hidden="1">{#N/A,#N/A,TRUE,"Cond";#N/A,#N/A,TRUE,"Bce_hold";#N/A,#N/A,TRUE,"eerr_hold";#N/A,#N/A,TRUE,"eerr_prod";#N/A,#N/A,TRUE,"eerr_tipogtos";#N/A,#N/A,TRUE,"Flujo";#N/A,#N/A,TRUE,"Var_Ebit";#N/A,#N/A,TRUE,"Noa";#N/A,#N/A,TRUE,"Var_Noa"}</definedName>
    <definedName name="eeeeeeee" hidden="1">{#N/A,#N/A,TRUE,"Cond";#N/A,#N/A,TRUE,"Bce_hold";#N/A,#N/A,TRUE,"eerr_hold";#N/A,#N/A,TRUE,"eerr_prod";#N/A,#N/A,TRUE,"eerr_tipogtos";#N/A,#N/A,TRUE,"Flujo";#N/A,#N/A,TRUE,"Var_Ebit";#N/A,#N/A,TRUE,"Noa";#N/A,#N/A,TRUE,"Var_Noa"}</definedName>
    <definedName name="ejecut" localSheetId="4" hidden="1">{"KWHTONTOTAL",#N/A,FALSE,"KWHTON"}</definedName>
    <definedName name="ejecut" localSheetId="3" hidden="1">{"KWHTONTOTAL",#N/A,FALSE,"KWHTON"}</definedName>
    <definedName name="ejecut" localSheetId="2" hidden="1">{"KWHTONTOTAL",#N/A,FALSE,"KWHTON"}</definedName>
    <definedName name="ejecut" hidden="1">{"KWHTONTOTAL",#N/A,FALSE,"KWHTON"}</definedName>
    <definedName name="electricaribeLP" localSheetId="4" hidden="1">{#N/A,#N/A,FALSE,"Aging Summary";#N/A,#N/A,FALSE,"Ratio Analysis";#N/A,#N/A,FALSE,"Test 120 Day Accts";#N/A,#N/A,FALSE,"Tickmarks"}</definedName>
    <definedName name="electricaribeLP" localSheetId="3" hidden="1">{#N/A,#N/A,FALSE,"Aging Summary";#N/A,#N/A,FALSE,"Ratio Analysis";#N/A,#N/A,FALSE,"Test 120 Day Accts";#N/A,#N/A,FALSE,"Tickmarks"}</definedName>
    <definedName name="electricaribeLP" localSheetId="2" hidden="1">{#N/A,#N/A,FALSE,"Aging Summary";#N/A,#N/A,FALSE,"Ratio Analysis";#N/A,#N/A,FALSE,"Test 120 Day Accts";#N/A,#N/A,FALSE,"Tickmarks"}</definedName>
    <definedName name="electricaribeLP" hidden="1">{#N/A,#N/A,FALSE,"Aging Summary";#N/A,#N/A,FALSE,"Ratio Analysis";#N/A,#N/A,FALSE,"Test 120 Day Accts";#N/A,#N/A,FALSE,"Tickmarks"}</definedName>
    <definedName name="ENANO" hidden="1">{#N/A,#N/A,FALSE,"Aging Summary";#N/A,#N/A,FALSE,"Ratio Analysis";#N/A,#N/A,FALSE,"Test 120 Day Accts";#N/A,#N/A,FALSE,"Tickmarks"}</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10" hidden="1">"X744fXpMi98vv7Y2o5jr00/v3XuPoGv//3/qzNFRsgInX/681WJdUjw/+RElhBJfvf5/08LJ1yLF/3s01+vTz78gk/D1vbD3z+vefw+99f+RcNNQMTSxEk7Rdz9fJbdPlj0hy/8vnLH/FwnxlydnpCKf/hCF+NP3EOL/jzgfhooht568/vL/64z6DRPky52dH1GkQ5H/z8dS3zhF9n5EkZAiL35k87rNbtUqPhzYPAoJnh+f/BCN3oP3MHr/"</definedName>
    <definedName name="EPMWorkbookOptions_11" hidden="1">"X/FcDRljrusZ5cJfnfx/3v79v4hpv3pCiuDk9OUPNeA6eA+2/f+Kr+YIGTLus4cP/7/Ort84TU5f/ChhEjS7VasBEX5zdvrFByxavb/0Pvz/n/QKDUMm3dvZvT/+/8X66jdOlZ39H5EkIMn+jxglzig/b8PQYZL8fz4O/X+P6fvi9Pj1V69OX/8Qjd/uzntYv/+PhFyGjLKa9fu8+ZFz9l6NAmzijR7fPV6tymKatQTHfh58apoTtGq5JMTp"</definedName>
    <definedName name="EPMWorkbookOptions_12" hidden="1">"s6dZm5mPo5/S50K1RblsPvto3rarR3fvtvlita6LcVVf3P2qyWuH0/hdM/vo6Pd/9vKL3//Jy5MX393d+f2/py/tPtgb7z4c797bHT94dLCzs3O3yVZ3J6vp3e///t/7/NVXL7/8/Y9fff7la/qLUGmqsphlU8JGVk5+/++dZ2WTE+MEzPLYH+B7YulRL0Y8O/ijPjodLIR+bo46XOV/9e1iNsuXdsqbDU038MzreXXVUShg58d3I19sepVH"</definedName>
    <definedName name="EPMWorkbookOptions_13" hidden="1">"EXkzIpD8IlGizd+1z7LLqi5awosnRV7ufXeL958VddN6CMS/7wC6UV5u32pA7Z8cvzn9/MtXZ8c/RL3//x21f2u1b8koev/l8+MXP1L8frNbtRri0a/I6/sABt3Z2SclfHv+3P3/n1siJAxd6JOXP2JRv9mtWg2w6DPQ9/T3f3r85suv70Hfu3f//v7+/u0Zde//f4zqEzJk1+Ovnp69+XmdGojTZi+gjbiQPyJQh0Cvj58//ZKWvF5+9eZH"</definedName>
    <definedName name="EPMWorkbookOptions_14" hidden="1">"xOkS50dkiQvVd35/u9z//3Hi/L/HUHL0+7Ut5KcPdncODh7c3kLe+/+fhWQKhqbx89//521uOE6Nn9dWMEKSF1+++P0/f/XlVz/y+INmt2o1oMi++PIFWYbf/9Xpy6+tzSgw/fTTe/feIzLdfw919v+R5WJHR0mdnHz5/3km/aZI8fzk/+uU+H+PuL4+/fwL0oZf3/V4/zTn/fcQ1v+P+B6GiqF1kcCTvvv/Ort+s2Q5e/HFl0/+v06S/xdJ"</definedName>
    <definedName name="EPMWorkbookOptions_15" hidden="1">"sMZiP0QJ/vT/hxJsItowFfz6yx8xqt/sVq2GGZVs+PPjkx8ipz74/yWnChljxuaMcjavTn7EtEGzW7UaYtqvnpx8+eLk9OUP1UU6+P8h2zpChox7+uL/82nEb5wmzx4+/H81TdKbafL/HhF+c3b6xQfkVt9feh++h/T+fyQbITQMmXRvZ/f+eHfv/+uM+g2TZG/883otdpBRdnZ/RJIOSX7EKH2q7P//gyr/77F+X5wev/7q1enrH6L92915"</definedName>
    <definedName name="EPMWorkbookOptions_16" hidden="1">"DwP4/xH31ZBRMtC/z5v/z/us3yCH3qJRgE280eO7x6tVWUyzluDYz4NPTXOCVi2XhDh99jRrM/7Y//BN1R3841f5eZ038y+XX67y5REo9/hu+Bk3OynzrAbML5evs8tcG3Y/5abfreq3k6p6S0zZMhGPzrOyodb9L8L2VzOds8dnzU9mdZFNyvyLvL5wEHqf/8aJA/vlSmjx/wAOutHrhYsAAA=="</definedName>
    <definedName name="EPMWorkbookOptions_2" hidden="1">"q3vjqr64u7ezs3v39/7i+evpPF9k28WyabPlNP/IvjW7+a2PqNc0ffwqP6/zZv7l8stVvjw6z8omf3w3/JDbnZR5Vj/N2uzL5evsMjctux9zWzOWl3XV5tM2n5nW/S/C9lez9K58dNb8ZFYX2aTMv8jrCweh9zmRzoJV2h39P45h/1l2AQAA"</definedName>
    <definedName name="EPMWorkbookOptions_3">"XeDjsDtercpimnmUvDWWBkYIxftYB3/UR6eDhdCvR9JbfEVffpEvJnn91bL4ReucoX7v9ZcnZ6dPj59+f/y9l8evTl+8+fYu/Xry5c4ODb/XvAfw20VeZ/V0fu0apcRdj5ZF+dlHbb0m5rnbf+tpsciX4N3bv/X47jc35jdnp1+8/DIc8d7O7v3xT+z/f2XQG77xvvh2MZvlS9tx0+nAb+oYtuki8XpeXVkYJ1VZ1UdA9/HdyBebXmViRt6M"</definedName>
    <definedName name="EPMWorkbookOptions_4" hidden="1">"j7L84eThw/2H27PJ5N72/v3dg+3J+YNsO/t0dm/y8N79vb3zGXoO34oAfp417eu8JNHPZ1/kiwlpsEizkC2jDaiJvO+R6XuWjN8ff4/+9+r0+DlJcK/dALxvF3md1dP5tWuakqJ8tCzKzz4Cy3zUkR3v3cis3e7dx3dvGuk3QoqXr05ff/Xyq9PXb778/zpFHt+9DRN5cvCzJ7Vfnb548wEiu7OzT6bp9hK7+x4Su3v/0/vn+eR8+/6ns/3t"</definedName>
    <definedName name="EPMWorkbookOptions_5" hidden="1">"/b3zh9sH9/N8eyfL9/Znkwf7Dyb3/t8gsUxCMOjxK/rt27v068nLH7Go3+xWrQZY9Bnoe/r7Pz1+8+Xrr82o9+7dv7+/v397Rt37/x+j+oQM2fX4q6dnb958+eb/+7bm/z1syx761+bXTx/s7hwcPLg9v977/x+/MgVDRv3897/3/3UO/Uapsfv/dWr8v0dev/jyxenT49//1enLry205A19+um9e+/hDu3//09qHR3FbT/58ke+UNDsVq0G"</definedName>
    <definedName name="EPMWorkbookOptions_6" hidden="1">"mPT16edfkPR/fbvy/jH2/f//saihYqhN2f/5/em7H7Gr3+xWrYbY9cuTM1IGT3+I7Prp/w/ZVakYsuu3kVX9/zqrfrMkOflyZ+9HFOlQZOdHFAko8vpH2cOg2a1aDet3cvSeH5/8EBX8g/9fKnghY8whOaOczauTHzFt0OxWrYaY9qsnJ1++ODl9+UN1ow/+f8i2jpAh456+eHozu1rAP2LXfjuPzG/OTr/4gETivb0Hnx7cnk0fvgeb/n9k"</definedName>
    <definedName name="EPMWorkbookOptions_7" hidden="1">"RVUIGHLoHknvePfnrbM4QJK98Y/WAL5R2f3i9Pj1V7Rs/bWl9/3tzO7Oe0jw/0cMjSGjJBR/nzc/si7v1SjAJt7o8d3j1aospllLcOznwaemOUGrlktCnD57mrWZ+Tj6KX0uVFuUy+azj+Ztu3p0926bL1bruhhX9cXdr5q8djiN3zWzj45+/2cvv/j9n7w8efHd3Z3f/3v60mS2+9Pr1c7u+KJer6qsvqia8bRaPDrY2dm522Sru5PV9O73"</definedName>
    <definedName name="EPMWorkbookOptions_8" hidden="1">"f39ZJ/n9j199Toucv//3CKumKotZNi3+0b91efbsFT48z8omJx4K+OaxP9b3RNgjZIyOlg5HfXQ6WAgp3XR1GMz/6tvFbJYv7ew3G5puYJ/X8+qqo1vA2Y/vRr7Y9CqPIvJmRDb5RaJEm79rn2WXVV20hBdPirzc++4W7z8r6qb1EIh/3wF0o+jcvtWABTg5fnP6+Zevzo5/iCbg/4cWwJJRTMCr0//veynfEClePj9+8f91UnyD5vBDxfUr"</definedName>
    <definedName name="EPMWorkbookOptions_9" hidden="1">"coc/QFZ3dvbJHt1eVHf/fyiqTEIXW9ynX2Hovnpx+ubn7XpFlyicif7RunjQ7FatBuT2Geh7+vs/PX7z5dcPtu7du39/f3//9tK79/8/6fUJGbLr2YuXX735/zrHfrNk2aNfj796evZGM/WILn5EoA7fOAL9f502/+9Rdxzjfm099+mD3Z2Dgwe313P33kPP/X8kKcwUDBn1xZcvfv/PX3351f/nzfI3SJPPf/97P6/VWpwk/1+nxv97FNkX"</definedName>
    <definedName name="er" localSheetId="6" hidden="1">{#N/A,#N/A,FALSE,"balance";#N/A,#N/A,FALSE,"PYG"}</definedName>
    <definedName name="er" localSheetId="1" hidden="1">{#N/A,#N/A,FALSE,"balance";#N/A,#N/A,FALSE,"PYG"}</definedName>
    <definedName name="er" localSheetId="4" hidden="1">{#N/A,#N/A,FALSE,"balance";#N/A,#N/A,FALSE,"PYG"}</definedName>
    <definedName name="er" localSheetId="0" hidden="1">{#N/A,#N/A,FALSE,"balance";#N/A,#N/A,FALSE,"PYG"}</definedName>
    <definedName name="er" localSheetId="3" hidden="1">{#N/A,#N/A,FALSE,"balance";#N/A,#N/A,FALSE,"PYG"}</definedName>
    <definedName name="er" localSheetId="2" hidden="1">{#N/A,#N/A,FALSE,"balance";#N/A,#N/A,FALSE,"PYG"}</definedName>
    <definedName name="er" localSheetId="5" hidden="1">{#N/A,#N/A,FALSE,"balance";#N/A,#N/A,FALSE,"PYG"}</definedName>
    <definedName name="er" localSheetId="7" hidden="1">{#N/A,#N/A,FALSE,"balance";#N/A,#N/A,FALSE,"PYG"}</definedName>
    <definedName name="er" hidden="1">{#N/A,#N/A,FALSE,"balance";#N/A,#N/A,FALSE,"PYG"}</definedName>
    <definedName name="ERD" hidden="1">{#N/A,#N/A,FALSE,"Aging Summary";#N/A,#N/A,FALSE,"Ratio Analysis";#N/A,#N/A,FALSE,"Test 120 Day Accts";#N/A,#N/A,FALSE,"Tickmarks"}</definedName>
    <definedName name="ERE" hidden="1">{"'18'!$A$5:$M$18"}</definedName>
    <definedName name="ert" localSheetId="6" hidden="1">{#N/A,#N/A,FALSE,"balance";#N/A,#N/A,FALSE,"PYG"}</definedName>
    <definedName name="ert" localSheetId="1" hidden="1">{#N/A,#N/A,FALSE,"balance";#N/A,#N/A,FALSE,"PYG"}</definedName>
    <definedName name="ert" localSheetId="4" hidden="1">{#N/A,#N/A,FALSE,"balance";#N/A,#N/A,FALSE,"PYG"}</definedName>
    <definedName name="ert" localSheetId="0" hidden="1">{#N/A,#N/A,FALSE,"balance";#N/A,#N/A,FALSE,"PYG"}</definedName>
    <definedName name="ert" localSheetId="3" hidden="1">{#N/A,#N/A,FALSE,"balance";#N/A,#N/A,FALSE,"PYG"}</definedName>
    <definedName name="ert" localSheetId="2" hidden="1">{#N/A,#N/A,FALSE,"balance";#N/A,#N/A,FALSE,"PYG"}</definedName>
    <definedName name="ert" localSheetId="5" hidden="1">{#N/A,#N/A,FALSE,"balance";#N/A,#N/A,FALSE,"PYG"}</definedName>
    <definedName name="ert" localSheetId="7" hidden="1">{#N/A,#N/A,FALSE,"balance";#N/A,#N/A,FALSE,"PYG"}</definedName>
    <definedName name="ert" hidden="1">{#N/A,#N/A,FALSE,"balance";#N/A,#N/A,FALSE,"PYG"}</definedName>
    <definedName name="ESCENARIO" localSheetId="4" hidden="1">{#N/A,#N/A,FALSE,"GRAFICO";#N/A,#N/A,FALSE,"CAJA (2)";#N/A,#N/A,FALSE,"TERCEROS-PROMEDIO";#N/A,#N/A,FALSE,"CAJA";#N/A,#N/A,FALSE,"INGRESOS1995-2003";#N/A,#N/A,FALSE,"GASTOS1995-2003"}</definedName>
    <definedName name="ESCENARIO" localSheetId="3" hidden="1">{#N/A,#N/A,FALSE,"GRAFICO";#N/A,#N/A,FALSE,"CAJA (2)";#N/A,#N/A,FALSE,"TERCEROS-PROMEDIO";#N/A,#N/A,FALSE,"CAJA";#N/A,#N/A,FALSE,"INGRESOS1995-2003";#N/A,#N/A,FALSE,"GASTOS1995-2003"}</definedName>
    <definedName name="ESCENARIO" localSheetId="2" hidden="1">{#N/A,#N/A,FALSE,"GRAFICO";#N/A,#N/A,FALSE,"CAJA (2)";#N/A,#N/A,FALSE,"TERCEROS-PROMEDIO";#N/A,#N/A,FALSE,"CAJA";#N/A,#N/A,FALSE,"INGRESOS1995-2003";#N/A,#N/A,FALSE,"GASTOS1995-2003"}</definedName>
    <definedName name="ESCENARIO" hidden="1">{#N/A,#N/A,FALSE,"GRAFICO";#N/A,#N/A,FALSE,"CAJA (2)";#N/A,#N/A,FALSE,"TERCEROS-PROMEDIO";#N/A,#N/A,FALSE,"CAJA";#N/A,#N/A,FALSE,"INGRESOS1995-2003";#N/A,#N/A,FALSE,"GASTOS1995-2003"}</definedName>
    <definedName name="esd" localSheetId="4" hidden="1">{#N/A,#N/A,TRUE,"Cond";#N/A,#N/A,TRUE,"Bce_hold";#N/A,#N/A,TRUE,"eerr_hold";#N/A,#N/A,TRUE,"eerr_prod";#N/A,#N/A,TRUE,"eerr_tipogtos";#N/A,#N/A,TRUE,"Flujo";#N/A,#N/A,TRUE,"Var_Ebit";#N/A,#N/A,TRUE,"Noa";#N/A,#N/A,TRUE,"Var_Noa"}</definedName>
    <definedName name="esd" localSheetId="3" hidden="1">{#N/A,#N/A,TRUE,"Cond";#N/A,#N/A,TRUE,"Bce_hold";#N/A,#N/A,TRUE,"eerr_hold";#N/A,#N/A,TRUE,"eerr_prod";#N/A,#N/A,TRUE,"eerr_tipogtos";#N/A,#N/A,TRUE,"Flujo";#N/A,#N/A,TRUE,"Var_Ebit";#N/A,#N/A,TRUE,"Noa";#N/A,#N/A,TRUE,"Var_Noa"}</definedName>
    <definedName name="esd" localSheetId="2" hidden="1">{#N/A,#N/A,TRUE,"Cond";#N/A,#N/A,TRUE,"Bce_hold";#N/A,#N/A,TRUE,"eerr_hold";#N/A,#N/A,TRUE,"eerr_prod";#N/A,#N/A,TRUE,"eerr_tipogtos";#N/A,#N/A,TRUE,"Flujo";#N/A,#N/A,TRUE,"Var_Ebit";#N/A,#N/A,TRUE,"Noa";#N/A,#N/A,TRUE,"Var_Noa"}</definedName>
    <definedName name="esd" hidden="1">{#N/A,#N/A,TRUE,"Cond";#N/A,#N/A,TRUE,"Bce_hold";#N/A,#N/A,TRUE,"eerr_hold";#N/A,#N/A,TRUE,"eerr_prod";#N/A,#N/A,TRUE,"eerr_tipogtos";#N/A,#N/A,TRUE,"Flujo";#N/A,#N/A,TRUE,"Var_Ebit";#N/A,#N/A,TRUE,"Noa";#N/A,#N/A,TRUE,"Var_Noa"}</definedName>
    <definedName name="este" hidden="1">{"PYGT",#N/A,FALSE,"PYG";"ACTIT",#N/A,FALSE,"BCE_GRAL-ACTIVO";"PASIT",#N/A,FALSE,"BCE_GRAL-PASIVO-PATRIM";"CAJAT",#N/A,FALSE,"CAJA"}</definedName>
    <definedName name="ESTEWW" hidden="1">{#N/A,#N/A,FALSE,"GRAFICO";#N/A,#N/A,FALSE,"CAJA (2)";#N/A,#N/A,FALSE,"TERCEROS-PROMEDIO";#N/A,#N/A,FALSE,"CAJA";#N/A,#N/A,FALSE,"INGRESOS1995-2003";#N/A,#N/A,FALSE,"GASTOS1995-2003"}</definedName>
    <definedName name="Estoquees" localSheetId="4" hidden="1">{#N/A,#N/A,FALSE,"Aging Summary";#N/A,#N/A,FALSE,"Ratio Analysis";#N/A,#N/A,FALSE,"Test 120 Day Accts";#N/A,#N/A,FALSE,"Tickmarks"}</definedName>
    <definedName name="Estoquees" localSheetId="3" hidden="1">{#N/A,#N/A,FALSE,"Aging Summary";#N/A,#N/A,FALSE,"Ratio Analysis";#N/A,#N/A,FALSE,"Test 120 Day Accts";#N/A,#N/A,FALSE,"Tickmarks"}</definedName>
    <definedName name="Estoquees" localSheetId="2" hidden="1">{#N/A,#N/A,FALSE,"Aging Summary";#N/A,#N/A,FALSE,"Ratio Analysis";#N/A,#N/A,FALSE,"Test 120 Day Accts";#N/A,#N/A,FALSE,"Tickmarks"}</definedName>
    <definedName name="Estoquees" hidden="1">{#N/A,#N/A,FALSE,"Aging Summary";#N/A,#N/A,FALSE,"Ratio Analysis";#N/A,#N/A,FALSE,"Test 120 Day Accts";#N/A,#N/A,FALSE,"Tickmarks"}</definedName>
    <definedName name="estoquees1" localSheetId="4" hidden="1">{#N/A,#N/A,FALSE,"Aging Summary";#N/A,#N/A,FALSE,"Ratio Analysis";#N/A,#N/A,FALSE,"Test 120 Day Accts";#N/A,#N/A,FALSE,"Tickmarks"}</definedName>
    <definedName name="estoquees1" localSheetId="3" hidden="1">{#N/A,#N/A,FALSE,"Aging Summary";#N/A,#N/A,FALSE,"Ratio Analysis";#N/A,#N/A,FALSE,"Test 120 Day Accts";#N/A,#N/A,FALSE,"Tickmarks"}</definedName>
    <definedName name="estoquees1" localSheetId="2" hidden="1">{#N/A,#N/A,FALSE,"Aging Summary";#N/A,#N/A,FALSE,"Ratio Analysis";#N/A,#N/A,FALSE,"Test 120 Day Accts";#N/A,#N/A,FALSE,"Tickmarks"}</definedName>
    <definedName name="estoquees1" hidden="1">{#N/A,#N/A,FALSE,"Aging Summary";#N/A,#N/A,FALSE,"Ratio Analysis";#N/A,#N/A,FALSE,"Test 120 Day Accts";#N/A,#N/A,FALSE,"Tickmarks"}</definedName>
    <definedName name="estoquees2" localSheetId="4" hidden="1">{#N/A,#N/A,FALSE,"Aging Summary";#N/A,#N/A,FALSE,"Ratio Analysis";#N/A,#N/A,FALSE,"Test 120 Day Accts";#N/A,#N/A,FALSE,"Tickmarks"}</definedName>
    <definedName name="estoquees2" localSheetId="3" hidden="1">{#N/A,#N/A,FALSE,"Aging Summary";#N/A,#N/A,FALSE,"Ratio Analysis";#N/A,#N/A,FALSE,"Test 120 Day Accts";#N/A,#N/A,FALSE,"Tickmarks"}</definedName>
    <definedName name="estoquees2" localSheetId="2" hidden="1">{#N/A,#N/A,FALSE,"Aging Summary";#N/A,#N/A,FALSE,"Ratio Analysis";#N/A,#N/A,FALSE,"Test 120 Day Accts";#N/A,#N/A,FALSE,"Tickmarks"}</definedName>
    <definedName name="estoquees2" hidden="1">{#N/A,#N/A,FALSE,"Aging Summary";#N/A,#N/A,FALSE,"Ratio Analysis";#N/A,#N/A,FALSE,"Test 120 Day Accts";#N/A,#N/A,FALSE,"Tickmarks"}</definedName>
    <definedName name="estre" hidden="1">{#N/A,#N/A,FALSE,"GRAFICO";#N/A,#N/A,FALSE,"CAJA (2)";#N/A,#N/A,FALSE,"TERCEROS-PROMEDIO";#N/A,#N/A,FALSE,"CAJA";#N/A,#N/A,FALSE,"INGRESOS1995-2003";#N/A,#N/A,FALSE,"GASTOS1995-2003"}</definedName>
    <definedName name="ev.Calculation" hidden="1">-4135</definedName>
    <definedName name="ev.Initialized" hidden="1">FALSE</definedName>
    <definedName name="ewew" hidden="1">{"'18'!$A$5:$M$18"}</definedName>
    <definedName name="EWQ" hidden="1">{#N/A,#N/A,FALSE,"Aging Summary";#N/A,#N/A,FALSE,"Ratio Analysis";#N/A,#N/A,FALSE,"Test 120 Day Accts";#N/A,#N/A,FALSE,"Tickmarks"}</definedName>
    <definedName name="ewwwwww" localSheetId="4" hidden="1">{"INDICE_USD",#N/A,FALSE,"Indice";#N/A,#N/A,FALSE,"Condusd";#N/A,#N/A,FALSE,"Bce_holdusd";#N/A,#N/A,FALSE,"eerr_holdusd";#N/A,#N/A,FALSE,"eerr_produsd";#N/A,#N/A,FALSE,"eerr_tipogtosusd";#N/A,#N/A,FALSE,"Flujousd";#N/A,#N/A,FALSE,"Var_Ebitusd";#N/A,#N/A,FALSE,"Noausd";#N/A,#N/A,FALSE,"Var_Noausd"}</definedName>
    <definedName name="ewwwwww" localSheetId="3" hidden="1">{"INDICE_USD",#N/A,FALSE,"Indice";#N/A,#N/A,FALSE,"Condusd";#N/A,#N/A,FALSE,"Bce_holdusd";#N/A,#N/A,FALSE,"eerr_holdusd";#N/A,#N/A,FALSE,"eerr_produsd";#N/A,#N/A,FALSE,"eerr_tipogtosusd";#N/A,#N/A,FALSE,"Flujousd";#N/A,#N/A,FALSE,"Var_Ebitusd";#N/A,#N/A,FALSE,"Noausd";#N/A,#N/A,FALSE,"Var_Noausd"}</definedName>
    <definedName name="ewwwwww" localSheetId="2" hidden="1">{"INDICE_USD",#N/A,FALSE,"Indice";#N/A,#N/A,FALSE,"Condusd";#N/A,#N/A,FALSE,"Bce_holdusd";#N/A,#N/A,FALSE,"eerr_holdusd";#N/A,#N/A,FALSE,"eerr_produsd";#N/A,#N/A,FALSE,"eerr_tipogtosusd";#N/A,#N/A,FALSE,"Flujousd";#N/A,#N/A,FALSE,"Var_Ebitusd";#N/A,#N/A,FALSE,"Noausd";#N/A,#N/A,FALSE,"Var_Noausd"}</definedName>
    <definedName name="ewwwwww" hidden="1">{"INDICE_USD",#N/A,FALSE,"Indice";#N/A,#N/A,FALSE,"Condusd";#N/A,#N/A,FALSE,"Bce_holdusd";#N/A,#N/A,FALSE,"eerr_holdusd";#N/A,#N/A,FALSE,"eerr_produsd";#N/A,#N/A,FALSE,"eerr_tipogtosusd";#N/A,#N/A,FALSE,"Flujousd";#N/A,#N/A,FALSE,"Var_Ebitusd";#N/A,#N/A,FALSE,"Noausd";#N/A,#N/A,FALSE,"Var_Noausd"}</definedName>
    <definedName name="FAROL" hidden="1">{"PYGT",#N/A,FALSE,"PYG";"ACTIT",#N/A,FALSE,"BCE_GRAL-ACTIVO";"PASIT",#N/A,FALSE,"BCE_GRAL-PASIVO-PATRIM";"CAJAT",#N/A,FALSE,"CAJA"}</definedName>
    <definedName name="FCode" localSheetId="4" hidden="1">#REF!</definedName>
    <definedName name="FCode" localSheetId="3" hidden="1">#REF!</definedName>
    <definedName name="FCode" localSheetId="2" hidden="1">#REF!</definedName>
    <definedName name="FCode" hidden="1">#REF!</definedName>
    <definedName name="FD156d" localSheetId="6" hidden="1">{#N/A,#N/A,FALSE,"balance";#N/A,#N/A,FALSE,"PYG"}</definedName>
    <definedName name="FD156d" localSheetId="1" hidden="1">{#N/A,#N/A,FALSE,"balance";#N/A,#N/A,FALSE,"PYG"}</definedName>
    <definedName name="FD156d" localSheetId="4" hidden="1">{#N/A,#N/A,FALSE,"balance";#N/A,#N/A,FALSE,"PYG"}</definedName>
    <definedName name="FD156d" localSheetId="0" hidden="1">{#N/A,#N/A,FALSE,"balance";#N/A,#N/A,FALSE,"PYG"}</definedName>
    <definedName name="FD156d" localSheetId="3" hidden="1">{#N/A,#N/A,FALSE,"balance";#N/A,#N/A,FALSE,"PYG"}</definedName>
    <definedName name="FD156d" localSheetId="2" hidden="1">{#N/A,#N/A,FALSE,"balance";#N/A,#N/A,FALSE,"PYG"}</definedName>
    <definedName name="FD156d" localSheetId="5" hidden="1">{#N/A,#N/A,FALSE,"balance";#N/A,#N/A,FALSE,"PYG"}</definedName>
    <definedName name="FD156d" localSheetId="7" hidden="1">{#N/A,#N/A,FALSE,"balance";#N/A,#N/A,FALSE,"PYG"}</definedName>
    <definedName name="FD156d" hidden="1">{#N/A,#N/A,FALSE,"balance";#N/A,#N/A,FALSE,"PYG"}</definedName>
    <definedName name="fdhadhasdghadgh" hidden="1">[1]Assumptions!#REF!</definedName>
    <definedName name="Fecha_Cierre_Act">[7]Entidad!$C$9</definedName>
    <definedName name="Fecha_Cierre_Ant">[7]Entidad!$C$10</definedName>
    <definedName name="felipe" localSheetId="4" hidden="1">{#N/A,#N/A,FALSE,"VENTAS";#N/A,#N/A,FALSE,"U. BRUTA";#N/A,#N/A,FALSE,"G. PERSONAL";#N/A,#N/A,FALSE,"G. OPERACION";#N/A,#N/A,FALSE,"G. DEPYAM";#N/A,#N/A,FALSE,"INGRESOS";#N/A,#N/A,FALSE,"G.o P.1";#N/A,#N/A,FALSE,"3%Informe Junta";#N/A,#N/A,FALSE,"P Y G (2)";#N/A,#N/A,FALSE,"CART. PROV.";#N/A,#N/A,FALSE,"Usecmes";#N/A,#N/A,FALSE,"Usecacu"}</definedName>
    <definedName name="felipe" localSheetId="3" hidden="1">{#N/A,#N/A,FALSE,"VENTAS";#N/A,#N/A,FALSE,"U. BRUTA";#N/A,#N/A,FALSE,"G. PERSONAL";#N/A,#N/A,FALSE,"G. OPERACION";#N/A,#N/A,FALSE,"G. DEPYAM";#N/A,#N/A,FALSE,"INGRESOS";#N/A,#N/A,FALSE,"G.o P.1";#N/A,#N/A,FALSE,"3%Informe Junta";#N/A,#N/A,FALSE,"P Y G (2)";#N/A,#N/A,FALSE,"CART. PROV.";#N/A,#N/A,FALSE,"Usecmes";#N/A,#N/A,FALSE,"Usecacu"}</definedName>
    <definedName name="felipe" localSheetId="2" hidden="1">{#N/A,#N/A,FALSE,"VENTAS";#N/A,#N/A,FALSE,"U. BRUTA";#N/A,#N/A,FALSE,"G. PERSONAL";#N/A,#N/A,FALSE,"G. OPERACION";#N/A,#N/A,FALSE,"G. DEPYAM";#N/A,#N/A,FALSE,"INGRESOS";#N/A,#N/A,FALSE,"G.o P.1";#N/A,#N/A,FALSE,"3%Informe Junta";#N/A,#N/A,FALSE,"P Y G (2)";#N/A,#N/A,FALSE,"CART. PROV.";#N/A,#N/A,FALSE,"Usecmes";#N/A,#N/A,FALSE,"Usecacu"}</definedName>
    <definedName name="felipe" hidden="1">{#N/A,#N/A,FALSE,"VENTAS";#N/A,#N/A,FALSE,"U. BRUTA";#N/A,#N/A,FALSE,"G. PERSONAL";#N/A,#N/A,FALSE,"G. OPERACION";#N/A,#N/A,FALSE,"G. DEPYAM";#N/A,#N/A,FALSE,"INGRESOS";#N/A,#N/A,FALSE,"G.o P.1";#N/A,#N/A,FALSE,"3%Informe Junta";#N/A,#N/A,FALSE,"P Y G (2)";#N/A,#N/A,FALSE,"CART. PROV.";#N/A,#N/A,FALSE,"Usecmes";#N/A,#N/A,FALSE,"Usecacu"}</definedName>
    <definedName name="ff" hidden="1">{#N/A,#N/A,FALSE,"GRAFICO";#N/A,#N/A,FALSE,"CAJA (2)";#N/A,#N/A,FALSE,"TERCEROS-PROMEDIO";#N/A,#N/A,FALSE,"CAJA";#N/A,#N/A,FALSE,"INGRESOS1995-2003";#N/A,#N/A,FALSE,"GASTOS1995-2003"}</definedName>
    <definedName name="fffffff" localSheetId="4" hidden="1">{#N/A,#N/A,TRUE,"Cond";#N/A,#N/A,TRUE,"Bce_hold";#N/A,#N/A,TRUE,"eerr_hold";#N/A,#N/A,TRUE,"eerr_prod";#N/A,#N/A,TRUE,"eerr_tipogtos";#N/A,#N/A,TRUE,"Flujo";#N/A,#N/A,TRUE,"Var_Ebit";#N/A,#N/A,TRUE,"Noa";#N/A,#N/A,TRUE,"Var_Noa"}</definedName>
    <definedName name="fffffff" localSheetId="3" hidden="1">{#N/A,#N/A,TRUE,"Cond";#N/A,#N/A,TRUE,"Bce_hold";#N/A,#N/A,TRUE,"eerr_hold";#N/A,#N/A,TRUE,"eerr_prod";#N/A,#N/A,TRUE,"eerr_tipogtos";#N/A,#N/A,TRUE,"Flujo";#N/A,#N/A,TRUE,"Var_Ebit";#N/A,#N/A,TRUE,"Noa";#N/A,#N/A,TRUE,"Var_Noa"}</definedName>
    <definedName name="fffffff" localSheetId="2" hidden="1">{#N/A,#N/A,TRUE,"Cond";#N/A,#N/A,TRUE,"Bce_hold";#N/A,#N/A,TRUE,"eerr_hold";#N/A,#N/A,TRUE,"eerr_prod";#N/A,#N/A,TRUE,"eerr_tipogtos";#N/A,#N/A,TRUE,"Flujo";#N/A,#N/A,TRUE,"Var_Ebit";#N/A,#N/A,TRUE,"Noa";#N/A,#N/A,TRUE,"Var_Noa"}</definedName>
    <definedName name="fffffff" hidden="1">{#N/A,#N/A,TRUE,"Cond";#N/A,#N/A,TRUE,"Bce_hold";#N/A,#N/A,TRUE,"eerr_hold";#N/A,#N/A,TRUE,"eerr_prod";#N/A,#N/A,TRUE,"eerr_tipogtos";#N/A,#N/A,TRUE,"Flujo";#N/A,#N/A,TRUE,"Var_Ebit";#N/A,#N/A,TRUE,"Noa";#N/A,#N/A,TRUE,"Var_Noa"}</definedName>
    <definedName name="fffffffff" localSheetId="4" hidden="1">{"INDICE_USD",#N/A,FALSE,"Indice";#N/A,#N/A,FALSE,"Condusd";#N/A,#N/A,FALSE,"Bce_holdusd";#N/A,#N/A,FALSE,"eerr_holdusd";#N/A,#N/A,FALSE,"eerr_produsd";#N/A,#N/A,FALSE,"eerr_tipogtosusd";#N/A,#N/A,FALSE,"Flujousd";#N/A,#N/A,FALSE,"Var_Ebitusd";#N/A,#N/A,FALSE,"Noausd";#N/A,#N/A,FALSE,"Var_Noausd"}</definedName>
    <definedName name="fffffffff" localSheetId="3" hidden="1">{"INDICE_USD",#N/A,FALSE,"Indice";#N/A,#N/A,FALSE,"Condusd";#N/A,#N/A,FALSE,"Bce_holdusd";#N/A,#N/A,FALSE,"eerr_holdusd";#N/A,#N/A,FALSE,"eerr_produsd";#N/A,#N/A,FALSE,"eerr_tipogtosusd";#N/A,#N/A,FALSE,"Flujousd";#N/A,#N/A,FALSE,"Var_Ebitusd";#N/A,#N/A,FALSE,"Noausd";#N/A,#N/A,FALSE,"Var_Noausd"}</definedName>
    <definedName name="fffffffff" localSheetId="2" hidden="1">{"INDICE_USD",#N/A,FALSE,"Indice";#N/A,#N/A,FALSE,"Condusd";#N/A,#N/A,FALSE,"Bce_holdusd";#N/A,#N/A,FALSE,"eerr_holdusd";#N/A,#N/A,FALSE,"eerr_produsd";#N/A,#N/A,FALSE,"eerr_tipogtosusd";#N/A,#N/A,FALSE,"Flujousd";#N/A,#N/A,FALSE,"Var_Ebitusd";#N/A,#N/A,FALSE,"Noausd";#N/A,#N/A,FALSE,"Var_Noausd"}</definedName>
    <definedName name="fffffffff" hidden="1">{"INDICE_USD",#N/A,FALSE,"Indice";#N/A,#N/A,FALSE,"Condusd";#N/A,#N/A,FALSE,"Bce_holdusd";#N/A,#N/A,FALSE,"eerr_holdusd";#N/A,#N/A,FALSE,"eerr_produsd";#N/A,#N/A,FALSE,"eerr_tipogtosusd";#N/A,#N/A,FALSE,"Flujousd";#N/A,#N/A,FALSE,"Var_Ebitusd";#N/A,#N/A,FALSE,"Noausd";#N/A,#N/A,FALSE,"Var_Noausd"}</definedName>
    <definedName name="ffgh" hidden="1">{#N/A,#N/A,FALSE,"Aging Summary";#N/A,#N/A,FALSE,"Ratio Analysis";#N/A,#N/A,FALSE,"Test 120 Day Accts";#N/A,#N/A,FALSE,"Tickmarks"}</definedName>
    <definedName name="ffsfddd" localSheetId="4" hidden="1">{#N/A,#N/A,TRUE,"TAPA ";"INDICE_CLP",#N/A,TRUE,"Indice";#N/A,#N/A,TRUE,"Cond";#N/A,#N/A,TRUE,"Bce_hold";#N/A,#N/A,TRUE,"eerr_hold";#N/A,#N/A,TRUE,"eerr_prod";#N/A,#N/A,TRUE,"eerr_tipogtos";#N/A,#N/A,TRUE,"Flujo";#N/A,#N/A,TRUE,"Var_Ebit";#N/A,#N/A,TRUE,"Noa";#N/A,#N/A,TRUE,"Var_Noa"}</definedName>
    <definedName name="ffsfddd" localSheetId="3" hidden="1">{#N/A,#N/A,TRUE,"TAPA ";"INDICE_CLP",#N/A,TRUE,"Indice";#N/A,#N/A,TRUE,"Cond";#N/A,#N/A,TRUE,"Bce_hold";#N/A,#N/A,TRUE,"eerr_hold";#N/A,#N/A,TRUE,"eerr_prod";#N/A,#N/A,TRUE,"eerr_tipogtos";#N/A,#N/A,TRUE,"Flujo";#N/A,#N/A,TRUE,"Var_Ebit";#N/A,#N/A,TRUE,"Noa";#N/A,#N/A,TRUE,"Var_Noa"}</definedName>
    <definedName name="ffsfddd" localSheetId="2" hidden="1">{#N/A,#N/A,TRUE,"TAPA ";"INDICE_CLP",#N/A,TRUE,"Indice";#N/A,#N/A,TRUE,"Cond";#N/A,#N/A,TRUE,"Bce_hold";#N/A,#N/A,TRUE,"eerr_hold";#N/A,#N/A,TRUE,"eerr_prod";#N/A,#N/A,TRUE,"eerr_tipogtos";#N/A,#N/A,TRUE,"Flujo";#N/A,#N/A,TRUE,"Var_Ebit";#N/A,#N/A,TRUE,"Noa";#N/A,#N/A,TRUE,"Var_Noa"}</definedName>
    <definedName name="ffsfddd" hidden="1">{#N/A,#N/A,TRUE,"TAPA ";"INDICE_CLP",#N/A,TRUE,"Indice";#N/A,#N/A,TRUE,"Cond";#N/A,#N/A,TRUE,"Bce_hold";#N/A,#N/A,TRUE,"eerr_hold";#N/A,#N/A,TRUE,"eerr_prod";#N/A,#N/A,TRUE,"eerr_tipogtos";#N/A,#N/A,TRUE,"Flujo";#N/A,#N/A,TRUE,"Var_Ebit";#N/A,#N/A,TRUE,"Noa";#N/A,#N/A,TRUE,"Var_Noa"}</definedName>
    <definedName name="fgf" hidden="1">{#N/A,#N/A,FALSE,"Aging Summary";#N/A,#N/A,FALSE,"Ratio Analysis";#N/A,#N/A,FALSE,"Test 120 Day Accts";#N/A,#N/A,FALSE,"Tickmarks"}</definedName>
    <definedName name="fhdfhdhdh" localSheetId="4" hidden="1">#REF!</definedName>
    <definedName name="fhdfhdhdh" localSheetId="3" hidden="1">#REF!</definedName>
    <definedName name="fhdfhdhdh" localSheetId="2" hidden="1">#REF!</definedName>
    <definedName name="fhdfhdhdh" hidden="1">#REF!</definedName>
    <definedName name="FIDUCIASOCTUBRE" localSheetId="4" hidden="1">{#N/A,#N/A,FALSE,"Aging Summary";#N/A,#N/A,FALSE,"Ratio Analysis";#N/A,#N/A,FALSE,"Test 120 Day Accts";#N/A,#N/A,FALSE,"Tickmarks"}</definedName>
    <definedName name="FIDUCIASOCTUBRE" localSheetId="3" hidden="1">{#N/A,#N/A,FALSE,"Aging Summary";#N/A,#N/A,FALSE,"Ratio Analysis";#N/A,#N/A,FALSE,"Test 120 Day Accts";#N/A,#N/A,FALSE,"Tickmarks"}</definedName>
    <definedName name="FIDUCIASOCTUBRE" localSheetId="2" hidden="1">{#N/A,#N/A,FALSE,"Aging Summary";#N/A,#N/A,FALSE,"Ratio Analysis";#N/A,#N/A,FALSE,"Test 120 Day Accts";#N/A,#N/A,FALSE,"Tickmarks"}</definedName>
    <definedName name="FIDUCIASOCTUBRE" hidden="1">{#N/A,#N/A,FALSE,"Aging Summary";#N/A,#N/A,FALSE,"Ratio Analysis";#N/A,#N/A,FALSE,"Test 120 Day Accts";#N/A,#N/A,FALSE,"Tickmarks"}</definedName>
    <definedName name="FIS" hidden="1">{"'S. C. B.'!$E$207"}</definedName>
    <definedName name="forward" hidden="1">{#N/A,#N/A,FALSE,"Aging Summary";#N/A,#N/A,FALSE,"Ratio Analysis";#N/A,#N/A,FALSE,"Test 120 Day Accts";#N/A,#N/A,FALSE,"Tickmarks"}</definedName>
    <definedName name="FR" localSheetId="4" hidden="1">{"'S. C. B.'!$E$207"}</definedName>
    <definedName name="FR" localSheetId="3" hidden="1">{"'S. C. B.'!$E$207"}</definedName>
    <definedName name="FR" localSheetId="2" hidden="1">{"'S. C. B.'!$E$207"}</definedName>
    <definedName name="FR" hidden="1">{"'S. C. B.'!$E$207"}</definedName>
    <definedName name="FREV" hidden="1">{"PYGT",#N/A,FALSE,"PYG";"ACTIT",#N/A,FALSE,"BCE_GRAL-ACTIVO";"PASIT",#N/A,FALSE,"BCE_GRAL-PASIVO-PATRIM";"CAJAT",#N/A,FALSE,"CAJA"}</definedName>
    <definedName name="fvb" hidden="1">{#N/A,#N/A,FALSE,"Aging Summary";#N/A,#N/A,FALSE,"Ratio Analysis";#N/A,#N/A,FALSE,"Test 120 Day Accts";#N/A,#N/A,FALSE,"Tickmarks"}</definedName>
    <definedName name="g" hidden="1">{"INDICE_USD",#N/A,FALSE,"Indice";#N/A,#N/A,FALSE,"Condusd";#N/A,#N/A,FALSE,"Bce_holdusd";#N/A,#N/A,FALSE,"eerr_holdusd";#N/A,#N/A,FALSE,"eerr_produsd";#N/A,#N/A,FALSE,"eerr_tipogtosusd";#N/A,#N/A,FALSE,"Flujousd";#N/A,#N/A,FALSE,"Var_Ebitusd";#N/A,#N/A,FALSE,"Noausd";#N/A,#N/A,FALSE,"Var_Noausd"}</definedName>
    <definedName name="gallo" hidden="1">{#N/A,#N/A,FALSE,"balance";#N/A,#N/A,FALSE,"PYG"}</definedName>
    <definedName name="Gastos" localSheetId="4" hidden="1">{#N/A,#N/A,FALSE,"GRAFICO";#N/A,#N/A,FALSE,"CAJA (2)";#N/A,#N/A,FALSE,"TERCEROS-PROMEDIO";#N/A,#N/A,FALSE,"CAJA";#N/A,#N/A,FALSE,"INGRESOS1995-2003";#N/A,#N/A,FALSE,"GASTOS1995-2003"}</definedName>
    <definedName name="Gastos" localSheetId="3" hidden="1">{#N/A,#N/A,FALSE,"GRAFICO";#N/A,#N/A,FALSE,"CAJA (2)";#N/A,#N/A,FALSE,"TERCEROS-PROMEDIO";#N/A,#N/A,FALSE,"CAJA";#N/A,#N/A,FALSE,"INGRESOS1995-2003";#N/A,#N/A,FALSE,"GASTOS1995-2003"}</definedName>
    <definedName name="Gastos" localSheetId="2" hidden="1">{#N/A,#N/A,FALSE,"GRAFICO";#N/A,#N/A,FALSE,"CAJA (2)";#N/A,#N/A,FALSE,"TERCEROS-PROMEDIO";#N/A,#N/A,FALSE,"CAJA";#N/A,#N/A,FALSE,"INGRESOS1995-2003";#N/A,#N/A,FALSE,"GASTOS1995-2003"}</definedName>
    <definedName name="Gastos" hidden="1">{#N/A,#N/A,FALSE,"GRAFICO";#N/A,#N/A,FALSE,"CAJA (2)";#N/A,#N/A,FALSE,"TERCEROS-PROMEDIO";#N/A,#N/A,FALSE,"CAJA";#N/A,#N/A,FALSE,"INGRESOS1995-2003";#N/A,#N/A,FALSE,"GASTOS1995-2003"}</definedName>
    <definedName name="GATO" hidden="1">{#N/A,#N/A,FALSE,"Aging Summary";#N/A,#N/A,FALSE,"Ratio Analysis";#N/A,#N/A,FALSE,"Test 120 Day Accts";#N/A,#N/A,FALSE,"Tickmarks"}</definedName>
    <definedName name="gfdf" localSheetId="6" hidden="1">{#N/A,#N/A,FALSE,"balance";#N/A,#N/A,FALSE,"PYG"}</definedName>
    <definedName name="gfdf" localSheetId="1" hidden="1">{#N/A,#N/A,FALSE,"balance";#N/A,#N/A,FALSE,"PYG"}</definedName>
    <definedName name="gfdf" localSheetId="4" hidden="1">{#N/A,#N/A,FALSE,"balance";#N/A,#N/A,FALSE,"PYG"}</definedName>
    <definedName name="gfdf" localSheetId="0" hidden="1">{#N/A,#N/A,FALSE,"balance";#N/A,#N/A,FALSE,"PYG"}</definedName>
    <definedName name="gfdf" localSheetId="3" hidden="1">{#N/A,#N/A,FALSE,"balance";#N/A,#N/A,FALSE,"PYG"}</definedName>
    <definedName name="gfdf" localSheetId="2" hidden="1">{#N/A,#N/A,FALSE,"balance";#N/A,#N/A,FALSE,"PYG"}</definedName>
    <definedName name="gfdf" localSheetId="5" hidden="1">{#N/A,#N/A,FALSE,"balance";#N/A,#N/A,FALSE,"PYG"}</definedName>
    <definedName name="gfdf" localSheetId="7" hidden="1">{#N/A,#N/A,FALSE,"balance";#N/A,#N/A,FALSE,"PYG"}</definedName>
    <definedName name="gfdf" hidden="1">{#N/A,#N/A,FALSE,"balance";#N/A,#N/A,FALSE,"PYG"}</definedName>
    <definedName name="GFDM" hidden="1">{#N/A,#N/A,FALSE,"Aging Summary";#N/A,#N/A,FALSE,"Ratio Analysis";#N/A,#N/A,FALSE,"Test 120 Day Accts";#N/A,#N/A,FALSE,"Tickmarks"}</definedName>
    <definedName name="gg" hidden="1">{#N/A,#N/A,FALSE,"balance";#N/A,#N/A,FALSE,"PYG"}</definedName>
    <definedName name="GGF" localSheetId="6" hidden="1">{#N/A,#N/A,FALSE,"balance";#N/A,#N/A,FALSE,"PYG"}</definedName>
    <definedName name="GGF" localSheetId="1" hidden="1">{#N/A,#N/A,FALSE,"balance";#N/A,#N/A,FALSE,"PYG"}</definedName>
    <definedName name="GGF" localSheetId="4" hidden="1">{#N/A,#N/A,FALSE,"balance";#N/A,#N/A,FALSE,"PYG"}</definedName>
    <definedName name="GGF" localSheetId="0" hidden="1">{#N/A,#N/A,FALSE,"balance";#N/A,#N/A,FALSE,"PYG"}</definedName>
    <definedName name="GGF" localSheetId="3" hidden="1">{#N/A,#N/A,FALSE,"balance";#N/A,#N/A,FALSE,"PYG"}</definedName>
    <definedName name="GGF" localSheetId="2" hidden="1">{#N/A,#N/A,FALSE,"balance";#N/A,#N/A,FALSE,"PYG"}</definedName>
    <definedName name="GGF" localSheetId="5" hidden="1">{#N/A,#N/A,FALSE,"balance";#N/A,#N/A,FALSE,"PYG"}</definedName>
    <definedName name="GGF" localSheetId="7" hidden="1">{#N/A,#N/A,FALSE,"balance";#N/A,#N/A,FALSE,"PYG"}</definedName>
    <definedName name="GGF" hidden="1">{#N/A,#N/A,FALSE,"balance";#N/A,#N/A,FALSE,"PYG"}</definedName>
    <definedName name="ggfa" localSheetId="6" hidden="1">{#N/A,#N/A,FALSE,"balance";#N/A,#N/A,FALSE,"PYG"}</definedName>
    <definedName name="ggfa" localSheetId="1" hidden="1">{#N/A,#N/A,FALSE,"balance";#N/A,#N/A,FALSE,"PYG"}</definedName>
    <definedName name="ggfa" localSheetId="4" hidden="1">{#N/A,#N/A,FALSE,"balance";#N/A,#N/A,FALSE,"PYG"}</definedName>
    <definedName name="ggfa" localSheetId="0" hidden="1">{#N/A,#N/A,FALSE,"balance";#N/A,#N/A,FALSE,"PYG"}</definedName>
    <definedName name="ggfa" localSheetId="3" hidden="1">{#N/A,#N/A,FALSE,"balance";#N/A,#N/A,FALSE,"PYG"}</definedName>
    <definedName name="ggfa" localSheetId="2" hidden="1">{#N/A,#N/A,FALSE,"balance";#N/A,#N/A,FALSE,"PYG"}</definedName>
    <definedName name="ggfa" localSheetId="5" hidden="1">{#N/A,#N/A,FALSE,"balance";#N/A,#N/A,FALSE,"PYG"}</definedName>
    <definedName name="ggfa" localSheetId="7" hidden="1">{#N/A,#N/A,FALSE,"balance";#N/A,#N/A,FALSE,"PYG"}</definedName>
    <definedName name="ggfa" hidden="1">{#N/A,#N/A,FALSE,"balance";#N/A,#N/A,FALSE,"PYG"}</definedName>
    <definedName name="ggggggg" localSheetId="4" hidden="1">{#N/A,#N/A,TRUE,"Cond";#N/A,#N/A,TRUE,"Bce_hold";#N/A,#N/A,TRUE,"eerr_hold";#N/A,#N/A,TRUE,"eerr_prod";#N/A,#N/A,TRUE,"eerr_tipogtos";#N/A,#N/A,TRUE,"Flujo";#N/A,#N/A,TRUE,"Var_Ebit";#N/A,#N/A,TRUE,"Noa";#N/A,#N/A,TRUE,"Var_Noa"}</definedName>
    <definedName name="ggggggg" localSheetId="3" hidden="1">{#N/A,#N/A,TRUE,"Cond";#N/A,#N/A,TRUE,"Bce_hold";#N/A,#N/A,TRUE,"eerr_hold";#N/A,#N/A,TRUE,"eerr_prod";#N/A,#N/A,TRUE,"eerr_tipogtos";#N/A,#N/A,TRUE,"Flujo";#N/A,#N/A,TRUE,"Var_Ebit";#N/A,#N/A,TRUE,"Noa";#N/A,#N/A,TRUE,"Var_Noa"}</definedName>
    <definedName name="ggggggg" localSheetId="2" hidden="1">{#N/A,#N/A,TRUE,"Cond";#N/A,#N/A,TRUE,"Bce_hold";#N/A,#N/A,TRUE,"eerr_hold";#N/A,#N/A,TRUE,"eerr_prod";#N/A,#N/A,TRUE,"eerr_tipogtos";#N/A,#N/A,TRUE,"Flujo";#N/A,#N/A,TRUE,"Var_Ebit";#N/A,#N/A,TRUE,"Noa";#N/A,#N/A,TRUE,"Var_Noa"}</definedName>
    <definedName name="ggggggg" hidden="1">{#N/A,#N/A,TRUE,"Cond";#N/A,#N/A,TRUE,"Bce_hold";#N/A,#N/A,TRUE,"eerr_hold";#N/A,#N/A,TRUE,"eerr_prod";#N/A,#N/A,TRUE,"eerr_tipogtos";#N/A,#N/A,TRUE,"Flujo";#N/A,#N/A,TRUE,"Var_Ebit";#N/A,#N/A,TRUE,"Noa";#N/A,#N/A,TRUE,"Var_Noa"}</definedName>
    <definedName name="gh" localSheetId="4" hidden="1">{#N/A,#N/A,TRUE,"TAPA ";"INDICE_CLP",#N/A,TRUE,"Indice";#N/A,#N/A,TRUE,"Cond";#N/A,#N/A,TRUE,"Bce_hold";#N/A,#N/A,TRUE,"eerr_hold";#N/A,#N/A,TRUE,"eerr_prod";#N/A,#N/A,TRUE,"eerr_tipogtos";#N/A,#N/A,TRUE,"Flujo";#N/A,#N/A,TRUE,"Var_Ebit";#N/A,#N/A,TRUE,"Noa";#N/A,#N/A,TRUE,"Var_Noa"}</definedName>
    <definedName name="gh" localSheetId="3" hidden="1">{#N/A,#N/A,TRUE,"TAPA ";"INDICE_CLP",#N/A,TRUE,"Indice";#N/A,#N/A,TRUE,"Cond";#N/A,#N/A,TRUE,"Bce_hold";#N/A,#N/A,TRUE,"eerr_hold";#N/A,#N/A,TRUE,"eerr_prod";#N/A,#N/A,TRUE,"eerr_tipogtos";#N/A,#N/A,TRUE,"Flujo";#N/A,#N/A,TRUE,"Var_Ebit";#N/A,#N/A,TRUE,"Noa";#N/A,#N/A,TRUE,"Var_Noa"}</definedName>
    <definedName name="gh" localSheetId="2" hidden="1">{#N/A,#N/A,TRUE,"TAPA ";"INDICE_CLP",#N/A,TRUE,"Indice";#N/A,#N/A,TRUE,"Cond";#N/A,#N/A,TRUE,"Bce_hold";#N/A,#N/A,TRUE,"eerr_hold";#N/A,#N/A,TRUE,"eerr_prod";#N/A,#N/A,TRUE,"eerr_tipogtos";#N/A,#N/A,TRUE,"Flujo";#N/A,#N/A,TRUE,"Var_Ebit";#N/A,#N/A,TRUE,"Noa";#N/A,#N/A,TRUE,"Var_Noa"}</definedName>
    <definedName name="gh" hidden="1">{#N/A,#N/A,TRUE,"TAPA ";"INDICE_CLP",#N/A,TRUE,"Indice";#N/A,#N/A,TRUE,"Cond";#N/A,#N/A,TRUE,"Bce_hold";#N/A,#N/A,TRUE,"eerr_hold";#N/A,#N/A,TRUE,"eerr_prod";#N/A,#N/A,TRUE,"eerr_tipogtos";#N/A,#N/A,TRUE,"Flujo";#N/A,#N/A,TRUE,"Var_Ebit";#N/A,#N/A,TRUE,"Noa";#N/A,#N/A,TRUE,"Var_Noa"}</definedName>
    <definedName name="ghb" localSheetId="4" hidden="1">{#N/A,#N/A,FALSE,"balance";#N/A,#N/A,FALSE,"PYG"}</definedName>
    <definedName name="ghb" localSheetId="3" hidden="1">{#N/A,#N/A,FALSE,"balance";#N/A,#N/A,FALSE,"PYG"}</definedName>
    <definedName name="ghb" localSheetId="2" hidden="1">{#N/A,#N/A,FALSE,"balance";#N/A,#N/A,FALSE,"PYG"}</definedName>
    <definedName name="ghb" hidden="1">{#N/A,#N/A,FALSE,"balance";#N/A,#N/A,FALSE,"PYG"}</definedName>
    <definedName name="gibran" localSheetId="6" hidden="1">{#N/A,#N/A,FALSE,"balance";#N/A,#N/A,FALSE,"PYG"}</definedName>
    <definedName name="gibran" localSheetId="1" hidden="1">{#N/A,#N/A,FALSE,"balance";#N/A,#N/A,FALSE,"PYG"}</definedName>
    <definedName name="gibran" localSheetId="4" hidden="1">{#N/A,#N/A,FALSE,"balance";#N/A,#N/A,FALSE,"PYG"}</definedName>
    <definedName name="gibran" localSheetId="0" hidden="1">{#N/A,#N/A,FALSE,"balance";#N/A,#N/A,FALSE,"PYG"}</definedName>
    <definedName name="gibran" localSheetId="3" hidden="1">{#N/A,#N/A,FALSE,"balance";#N/A,#N/A,FALSE,"PYG"}</definedName>
    <definedName name="gibran" localSheetId="2" hidden="1">{#N/A,#N/A,FALSE,"balance";#N/A,#N/A,FALSE,"PYG"}</definedName>
    <definedName name="gibran" localSheetId="5" hidden="1">{#N/A,#N/A,FALSE,"balance";#N/A,#N/A,FALSE,"PYG"}</definedName>
    <definedName name="gibran" localSheetId="7" hidden="1">{#N/A,#N/A,FALSE,"balance";#N/A,#N/A,FALSE,"PYG"}</definedName>
    <definedName name="gibran" hidden="1">{#N/A,#N/A,FALSE,"balance";#N/A,#N/A,FALSE,"PYG"}</definedName>
    <definedName name="gibranguerrero" localSheetId="6" hidden="1">{#N/A,#N/A,FALSE,"balance";#N/A,#N/A,FALSE,"PYG"}</definedName>
    <definedName name="gibranguerrero" localSheetId="1" hidden="1">{#N/A,#N/A,FALSE,"balance";#N/A,#N/A,FALSE,"PYG"}</definedName>
    <definedName name="gibranguerrero" localSheetId="4" hidden="1">{#N/A,#N/A,FALSE,"balance";#N/A,#N/A,FALSE,"PYG"}</definedName>
    <definedName name="gibranguerrero" localSheetId="0" hidden="1">{#N/A,#N/A,FALSE,"balance";#N/A,#N/A,FALSE,"PYG"}</definedName>
    <definedName name="gibranguerrero" localSheetId="3" hidden="1">{#N/A,#N/A,FALSE,"balance";#N/A,#N/A,FALSE,"PYG"}</definedName>
    <definedName name="gibranguerrero" localSheetId="2" hidden="1">{#N/A,#N/A,FALSE,"balance";#N/A,#N/A,FALSE,"PYG"}</definedName>
    <definedName name="gibranguerrero" localSheetId="5" hidden="1">{#N/A,#N/A,FALSE,"balance";#N/A,#N/A,FALSE,"PYG"}</definedName>
    <definedName name="gibranguerrero" localSheetId="7" hidden="1">{#N/A,#N/A,FALSE,"balance";#N/A,#N/A,FALSE,"PYG"}</definedName>
    <definedName name="gibranguerrero" hidden="1">{#N/A,#N/A,FALSE,"balance";#N/A,#N/A,FALSE,"PYG"}</definedName>
    <definedName name="GJK" hidden="1">{#N/A,#N/A,FALSE,"Aging Summary";#N/A,#N/A,FALSE,"Ratio Analysis";#N/A,#N/A,FALSE,"Test 120 Day Accts";#N/A,#N/A,FALSE,"Tickmarks"}</definedName>
    <definedName name="goy" hidden="1">{#N/A,#N/A,FALSE,"GRAFICO";#N/A,#N/A,FALSE,"CAJA (2)";#N/A,#N/A,FALSE,"TERCEROS-PROMEDIO";#N/A,#N/A,FALSE,"CAJA";#N/A,#N/A,FALSE,"INGRESOS1995-2003";#N/A,#N/A,FALSE,"GASTOS1995-2003"}</definedName>
    <definedName name="Gráfico2" localSheetId="6" hidden="1">{#N/A,#N/A,FALSE,"GP";#N/A,#N/A,FALSE,"Summary"}</definedName>
    <definedName name="Gráfico2" localSheetId="4" hidden="1">{#N/A,#N/A,FALSE,"GP";#N/A,#N/A,FALSE,"Summary"}</definedName>
    <definedName name="Gráfico2" localSheetId="3" hidden="1">{#N/A,#N/A,FALSE,"GP";#N/A,#N/A,FALSE,"Summary"}</definedName>
    <definedName name="Gráfico2" localSheetId="2" hidden="1">{#N/A,#N/A,FALSE,"GP";#N/A,#N/A,FALSE,"Summary"}</definedName>
    <definedName name="Gráfico2" localSheetId="5" hidden="1">{#N/A,#N/A,FALSE,"GP";#N/A,#N/A,FALSE,"Summary"}</definedName>
    <definedName name="Gráfico2" localSheetId="7" hidden="1">{#N/A,#N/A,FALSE,"GP";#N/A,#N/A,FALSE,"Summary"}</definedName>
    <definedName name="Gráfico2" hidden="1">{#N/A,#N/A,FALSE,"GP";#N/A,#N/A,FALSE,"Summary"}</definedName>
    <definedName name="gxñ" hidden="1">{#N/A,#N/A,FALSE,"Aging Summary";#N/A,#N/A,FALSE,"Ratio Analysis";#N/A,#N/A,FALSE,"Test 120 Day Accts";#N/A,#N/A,FALSE,"Tickmarks"}</definedName>
    <definedName name="gyfdyg" localSheetId="6" hidden="1">{#N/A,#N/A,FALSE,"balance";#N/A,#N/A,FALSE,"PYG"}</definedName>
    <definedName name="gyfdyg" localSheetId="1" hidden="1">{#N/A,#N/A,FALSE,"balance";#N/A,#N/A,FALSE,"PYG"}</definedName>
    <definedName name="gyfdyg" localSheetId="4" hidden="1">{#N/A,#N/A,FALSE,"balance";#N/A,#N/A,FALSE,"PYG"}</definedName>
    <definedName name="gyfdyg" localSheetId="0" hidden="1">{#N/A,#N/A,FALSE,"balance";#N/A,#N/A,FALSE,"PYG"}</definedName>
    <definedName name="gyfdyg" localSheetId="3" hidden="1">{#N/A,#N/A,FALSE,"balance";#N/A,#N/A,FALSE,"PYG"}</definedName>
    <definedName name="gyfdyg" localSheetId="2" hidden="1">{#N/A,#N/A,FALSE,"balance";#N/A,#N/A,FALSE,"PYG"}</definedName>
    <definedName name="gyfdyg" localSheetId="5" hidden="1">{#N/A,#N/A,FALSE,"balance";#N/A,#N/A,FALSE,"PYG"}</definedName>
    <definedName name="gyfdyg" localSheetId="7" hidden="1">{#N/A,#N/A,FALSE,"balance";#N/A,#N/A,FALSE,"PYG"}</definedName>
    <definedName name="gyfdyg" hidden="1">{#N/A,#N/A,FALSE,"balance";#N/A,#N/A,FALSE,"PYG"}</definedName>
    <definedName name="H" localSheetId="4" hidden="1">{"PYGS",#N/A,FALSE,"PYG";"ACTIS",#N/A,FALSE,"BCE_GRAL-ACTIVO";"PASIS",#N/A,FALSE,"BCE_GRAL-PASIVO-PATRIM";"CAJAS",#N/A,FALSE,"CAJA"}</definedName>
    <definedName name="H" localSheetId="3" hidden="1">{"PYGS",#N/A,FALSE,"PYG";"ACTIS",#N/A,FALSE,"BCE_GRAL-ACTIVO";"PASIS",#N/A,FALSE,"BCE_GRAL-PASIVO-PATRIM";"CAJAS",#N/A,FALSE,"CAJA"}</definedName>
    <definedName name="H" localSheetId="2" hidden="1">{"PYGS",#N/A,FALSE,"PYG";"ACTIS",#N/A,FALSE,"BCE_GRAL-ACTIVO";"PASIS",#N/A,FALSE,"BCE_GRAL-PASIVO-PATRIM";"CAJAS",#N/A,FALSE,"CAJA"}</definedName>
    <definedName name="H" hidden="1">{"PYGS",#N/A,FALSE,"PYG";"ACTIS",#N/A,FALSE,"BCE_GRAL-ACTIVO";"PASIS",#N/A,FALSE,"BCE_GRAL-PASIVO-PATRIM";"CAJAS",#N/A,FALSE,"CAJA"}</definedName>
    <definedName name="hcc" localSheetId="6" hidden="1">{#N/A,#N/A,FALSE,"balance";#N/A,#N/A,FALSE,"PYG"}</definedName>
    <definedName name="hcc" localSheetId="1" hidden="1">{#N/A,#N/A,FALSE,"balance";#N/A,#N/A,FALSE,"PYG"}</definedName>
    <definedName name="hcc" localSheetId="4" hidden="1">{#N/A,#N/A,FALSE,"balance";#N/A,#N/A,FALSE,"PYG"}</definedName>
    <definedName name="hcc" localSheetId="0" hidden="1">{#N/A,#N/A,FALSE,"balance";#N/A,#N/A,FALSE,"PYG"}</definedName>
    <definedName name="hcc" localSheetId="3" hidden="1">{#N/A,#N/A,FALSE,"balance";#N/A,#N/A,FALSE,"PYG"}</definedName>
    <definedName name="hcc" localSheetId="2" hidden="1">{#N/A,#N/A,FALSE,"balance";#N/A,#N/A,FALSE,"PYG"}</definedName>
    <definedName name="hcc" localSheetId="5" hidden="1">{#N/A,#N/A,FALSE,"balance";#N/A,#N/A,FALSE,"PYG"}</definedName>
    <definedName name="hcc" localSheetId="7" hidden="1">{#N/A,#N/A,FALSE,"balance";#N/A,#N/A,FALSE,"PYG"}</definedName>
    <definedName name="hcc" hidden="1">{#N/A,#N/A,FALSE,"balance";#N/A,#N/A,FALSE,"PYG"}</definedName>
    <definedName name="hetor" hidden="1">{#N/A,#N/A,FALSE,"balance";#N/A,#N/A,FALSE,"PYG"}</definedName>
    <definedName name="HG" localSheetId="4" hidden="1">{#N/A,#N/A,FALSE,"Aging Summary";#N/A,#N/A,FALSE,"Ratio Analysis";#N/A,#N/A,FALSE,"Test 120 Day Accts";#N/A,#N/A,FALSE,"Tickmarks"}</definedName>
    <definedName name="HG" localSheetId="3" hidden="1">{#N/A,#N/A,FALSE,"Aging Summary";#N/A,#N/A,FALSE,"Ratio Analysis";#N/A,#N/A,FALSE,"Test 120 Day Accts";#N/A,#N/A,FALSE,"Tickmarks"}</definedName>
    <definedName name="HG" localSheetId="2" hidden="1">{#N/A,#N/A,FALSE,"Aging Summary";#N/A,#N/A,FALSE,"Ratio Analysis";#N/A,#N/A,FALSE,"Test 120 Day Accts";#N/A,#N/A,FALSE,"Tickmarks"}</definedName>
    <definedName name="HG" hidden="1">{#N/A,#N/A,FALSE,"Aging Summary";#N/A,#N/A,FALSE,"Ratio Analysis";#N/A,#N/A,FALSE,"Test 120 Day Accts";#N/A,#N/A,FALSE,"Tickmarks"}</definedName>
    <definedName name="HGJ" hidden="1">{#N/A,#N/A,FALSE,"Aging Summary";#N/A,#N/A,FALSE,"Ratio Analysis";#N/A,#N/A,FALSE,"Test 120 Day Accts";#N/A,#N/A,FALSE,"Tickmarks"}</definedName>
    <definedName name="hhhhhh" localSheetId="4" hidden="1">{"PYGT",#N/A,FALSE,"PYG";"ACTIT",#N/A,FALSE,"BCE_GRAL-ACTIVO";"PASIT",#N/A,FALSE,"BCE_GRAL-PASIVO-PATRIM";"CAJAT",#N/A,FALSE,"CAJA"}</definedName>
    <definedName name="hhhhhh" localSheetId="3" hidden="1">{"PYGT",#N/A,FALSE,"PYG";"ACTIT",#N/A,FALSE,"BCE_GRAL-ACTIVO";"PASIT",#N/A,FALSE,"BCE_GRAL-PASIVO-PATRIM";"CAJAT",#N/A,FALSE,"CAJA"}</definedName>
    <definedName name="hhhhhh" localSheetId="2" hidden="1">{"PYGT",#N/A,FALSE,"PYG";"ACTIT",#N/A,FALSE,"BCE_GRAL-ACTIVO";"PASIT",#N/A,FALSE,"BCE_GRAL-PASIVO-PATRIM";"CAJAT",#N/A,FALSE,"CAJA"}</definedName>
    <definedName name="hhhhhh" hidden="1">{"PYGT",#N/A,FALSE,"PYG";"ACTIT",#N/A,FALSE,"BCE_GRAL-ACTIVO";"PASIT",#N/A,FALSE,"BCE_GRAL-PASIVO-PATRIM";"CAJAT",#N/A,FALSE,"CAJA"}</definedName>
    <definedName name="hhhhhhhhhhh" localSheetId="4" hidden="1">{"PYGS",#N/A,FALSE,"PYG";"ACTIS",#N/A,FALSE,"BCE_GRAL-ACTIVO";"PASIS",#N/A,FALSE,"BCE_GRAL-PASIVO-PATRIM";"CAJAS",#N/A,FALSE,"CAJA"}</definedName>
    <definedName name="hhhhhhhhhhh" localSheetId="3" hidden="1">{"PYGS",#N/A,FALSE,"PYG";"ACTIS",#N/A,FALSE,"BCE_GRAL-ACTIVO";"PASIS",#N/A,FALSE,"BCE_GRAL-PASIVO-PATRIM";"CAJAS",#N/A,FALSE,"CAJA"}</definedName>
    <definedName name="hhhhhhhhhhh" localSheetId="2" hidden="1">{"PYGS",#N/A,FALSE,"PYG";"ACTIS",#N/A,FALSE,"BCE_GRAL-ACTIVO";"PASIS",#N/A,FALSE,"BCE_GRAL-PASIVO-PATRIM";"CAJAS",#N/A,FALSE,"CAJA"}</definedName>
    <definedName name="hhhhhhhhhhh" hidden="1">{"PYGS",#N/A,FALSE,"PYG";"ACTIS",#N/A,FALSE,"BCE_GRAL-ACTIVO";"PASIS",#N/A,FALSE,"BCE_GRAL-PASIVO-PATRIM";"CAJAS",#N/A,FALSE,"CAJA"}</definedName>
    <definedName name="hhhhhhhhhhhh" localSheetId="4" hidden="1">{"PYGT",#N/A,FALSE,"PYG";"ACTIT",#N/A,FALSE,"BCE_GRAL-ACTIVO";"PASIT",#N/A,FALSE,"BCE_GRAL-PASIVO-PATRIM";"CAJAT",#N/A,FALSE,"CAJA"}</definedName>
    <definedName name="hhhhhhhhhhhh" localSheetId="3" hidden="1">{"PYGT",#N/A,FALSE,"PYG";"ACTIT",#N/A,FALSE,"BCE_GRAL-ACTIVO";"PASIT",#N/A,FALSE,"BCE_GRAL-PASIVO-PATRIM";"CAJAT",#N/A,FALSE,"CAJA"}</definedName>
    <definedName name="hhhhhhhhhhhh" localSheetId="2" hidden="1">{"PYGT",#N/A,FALSE,"PYG";"ACTIT",#N/A,FALSE,"BCE_GRAL-ACTIVO";"PASIT",#N/A,FALSE,"BCE_GRAL-PASIVO-PATRIM";"CAJAT",#N/A,FALSE,"CAJA"}</definedName>
    <definedName name="hhhhhhhhhhhh" hidden="1">{"PYGT",#N/A,FALSE,"PYG";"ACTIT",#N/A,FALSE,"BCE_GRAL-ACTIVO";"PASIT",#N/A,FALSE,"BCE_GRAL-PASIVO-PATRIM";"CAJAT",#N/A,FALSE,"CAJA"}</definedName>
    <definedName name="hhjhhh" localSheetId="4" hidden="1">{#N/A,#N/A,TRUE,"TAPA ";"INDICE_CLP",#N/A,TRUE,"Indice";#N/A,#N/A,TRUE,"Cond";#N/A,#N/A,TRUE,"Bce_hold";#N/A,#N/A,TRUE,"eerr_hold";#N/A,#N/A,TRUE,"eerr_prod";#N/A,#N/A,TRUE,"eerr_tipogtos";#N/A,#N/A,TRUE,"Flujo";#N/A,#N/A,TRUE,"Var_Ebit";#N/A,#N/A,TRUE,"Noa";#N/A,#N/A,TRUE,"Var_Noa"}</definedName>
    <definedName name="hhjhhh" localSheetId="3" hidden="1">{#N/A,#N/A,TRUE,"TAPA ";"INDICE_CLP",#N/A,TRUE,"Indice";#N/A,#N/A,TRUE,"Cond";#N/A,#N/A,TRUE,"Bce_hold";#N/A,#N/A,TRUE,"eerr_hold";#N/A,#N/A,TRUE,"eerr_prod";#N/A,#N/A,TRUE,"eerr_tipogtos";#N/A,#N/A,TRUE,"Flujo";#N/A,#N/A,TRUE,"Var_Ebit";#N/A,#N/A,TRUE,"Noa";#N/A,#N/A,TRUE,"Var_Noa"}</definedName>
    <definedName name="hhjhhh" localSheetId="2" hidden="1">{#N/A,#N/A,TRUE,"TAPA ";"INDICE_CLP",#N/A,TRUE,"Indice";#N/A,#N/A,TRUE,"Cond";#N/A,#N/A,TRUE,"Bce_hold";#N/A,#N/A,TRUE,"eerr_hold";#N/A,#N/A,TRUE,"eerr_prod";#N/A,#N/A,TRUE,"eerr_tipogtos";#N/A,#N/A,TRUE,"Flujo";#N/A,#N/A,TRUE,"Var_Ebit";#N/A,#N/A,TRUE,"Noa";#N/A,#N/A,TRUE,"Var_Noa"}</definedName>
    <definedName name="hhjhhh" hidden="1">{#N/A,#N/A,TRUE,"TAPA ";"INDICE_CLP",#N/A,TRUE,"Indice";#N/A,#N/A,TRUE,"Cond";#N/A,#N/A,TRUE,"Bce_hold";#N/A,#N/A,TRUE,"eerr_hold";#N/A,#N/A,TRUE,"eerr_prod";#N/A,#N/A,TRUE,"eerr_tipogtos";#N/A,#N/A,TRUE,"Flujo";#N/A,#N/A,TRUE,"Var_Ebit";#N/A,#N/A,TRUE,"Noa";#N/A,#N/A,TRUE,"Var_Noa"}</definedName>
    <definedName name="HiddenRows" localSheetId="4" hidden="1">#REF!</definedName>
    <definedName name="HiddenRows" localSheetId="3" hidden="1">#REF!</definedName>
    <definedName name="HiddenRows" localSheetId="2" hidden="1">#REF!</definedName>
    <definedName name="HiddenRows" hidden="1">#REF!</definedName>
    <definedName name="hjdfhshsh" localSheetId="4" hidden="1">{"INDICE_USD",#N/A,FALSE,"Indice";#N/A,#N/A,FALSE,"Condusd";#N/A,#N/A,FALSE,"Bce_holdusd";#N/A,#N/A,FALSE,"eerr_holdusd";#N/A,#N/A,FALSE,"eerr_produsd";#N/A,#N/A,FALSE,"eerr_tipogtosusd";#N/A,#N/A,FALSE,"Flujousd";#N/A,#N/A,FALSE,"Var_Ebitusd";#N/A,#N/A,FALSE,"Noausd";#N/A,#N/A,FALSE,"Var_Noausd"}</definedName>
    <definedName name="hjdfhshsh" localSheetId="3" hidden="1">{"INDICE_USD",#N/A,FALSE,"Indice";#N/A,#N/A,FALSE,"Condusd";#N/A,#N/A,FALSE,"Bce_holdusd";#N/A,#N/A,FALSE,"eerr_holdusd";#N/A,#N/A,FALSE,"eerr_produsd";#N/A,#N/A,FALSE,"eerr_tipogtosusd";#N/A,#N/A,FALSE,"Flujousd";#N/A,#N/A,FALSE,"Var_Ebitusd";#N/A,#N/A,FALSE,"Noausd";#N/A,#N/A,FALSE,"Var_Noausd"}</definedName>
    <definedName name="hjdfhshsh" localSheetId="2" hidden="1">{"INDICE_USD",#N/A,FALSE,"Indice";#N/A,#N/A,FALSE,"Condusd";#N/A,#N/A,FALSE,"Bce_holdusd";#N/A,#N/A,FALSE,"eerr_holdusd";#N/A,#N/A,FALSE,"eerr_produsd";#N/A,#N/A,FALSE,"eerr_tipogtosusd";#N/A,#N/A,FALSE,"Flujousd";#N/A,#N/A,FALSE,"Var_Ebitusd";#N/A,#N/A,FALSE,"Noausd";#N/A,#N/A,FALSE,"Var_Noausd"}</definedName>
    <definedName name="hjdfhshsh" hidden="1">{"INDICE_USD",#N/A,FALSE,"Indice";#N/A,#N/A,FALSE,"Condusd";#N/A,#N/A,FALSE,"Bce_holdusd";#N/A,#N/A,FALSE,"eerr_holdusd";#N/A,#N/A,FALSE,"eerr_produsd";#N/A,#N/A,FALSE,"eerr_tipogtosusd";#N/A,#N/A,FALSE,"Flujousd";#N/A,#N/A,FALSE,"Var_Ebitusd";#N/A,#N/A,FALSE,"Noausd";#N/A,#N/A,FALSE,"Var_Noausd"}</definedName>
    <definedName name="hjj" localSheetId="4" hidden="1">{"INDICE_USD",#N/A,FALSE,"Indice";#N/A,#N/A,FALSE,"Condusd";#N/A,#N/A,FALSE,"Bce_holdusd";#N/A,#N/A,FALSE,"eerr_holdusd";#N/A,#N/A,FALSE,"eerr_produsd";#N/A,#N/A,FALSE,"eerr_tipogtosusd";#N/A,#N/A,FALSE,"Flujousd";#N/A,#N/A,FALSE,"Var_Ebitusd";#N/A,#N/A,FALSE,"Noausd";#N/A,#N/A,FALSE,"Var_Noausd"}</definedName>
    <definedName name="hjj" localSheetId="3" hidden="1">{"INDICE_USD",#N/A,FALSE,"Indice";#N/A,#N/A,FALSE,"Condusd";#N/A,#N/A,FALSE,"Bce_holdusd";#N/A,#N/A,FALSE,"eerr_holdusd";#N/A,#N/A,FALSE,"eerr_produsd";#N/A,#N/A,FALSE,"eerr_tipogtosusd";#N/A,#N/A,FALSE,"Flujousd";#N/A,#N/A,FALSE,"Var_Ebitusd";#N/A,#N/A,FALSE,"Noausd";#N/A,#N/A,FALSE,"Var_Noausd"}</definedName>
    <definedName name="hjj" localSheetId="2" hidden="1">{"INDICE_USD",#N/A,FALSE,"Indice";#N/A,#N/A,FALSE,"Condusd";#N/A,#N/A,FALSE,"Bce_holdusd";#N/A,#N/A,FALSE,"eerr_holdusd";#N/A,#N/A,FALSE,"eerr_produsd";#N/A,#N/A,FALSE,"eerr_tipogtosusd";#N/A,#N/A,FALSE,"Flujousd";#N/A,#N/A,FALSE,"Var_Ebitusd";#N/A,#N/A,FALSE,"Noausd";#N/A,#N/A,FALSE,"Var_Noausd"}</definedName>
    <definedName name="hjj" hidden="1">{"INDICE_USD",#N/A,FALSE,"Indice";#N/A,#N/A,FALSE,"Condusd";#N/A,#N/A,FALSE,"Bce_holdusd";#N/A,#N/A,FALSE,"eerr_holdusd";#N/A,#N/A,FALSE,"eerr_produsd";#N/A,#N/A,FALSE,"eerr_tipogtosusd";#N/A,#N/A,FALSE,"Flujousd";#N/A,#N/A,FALSE,"Var_Ebitusd";#N/A,#N/A,FALSE,"Noausd";#N/A,#N/A,FALSE,"Var_Noausd"}</definedName>
    <definedName name="HJJHGT" localSheetId="4" hidden="1">{#N/A,#N/A,FALSE,"balance";#N/A,#N/A,FALSE,"PYG"}</definedName>
    <definedName name="HJJHGT" localSheetId="3" hidden="1">{#N/A,#N/A,FALSE,"balance";#N/A,#N/A,FALSE,"PYG"}</definedName>
    <definedName name="HJJHGT" localSheetId="2" hidden="1">{#N/A,#N/A,FALSE,"balance";#N/A,#N/A,FALSE,"PYG"}</definedName>
    <definedName name="HJJHGT" hidden="1">{#N/A,#N/A,FALSE,"balance";#N/A,#N/A,FALSE,"PYG"}</definedName>
    <definedName name="hn.ExtDb" hidden="1">FALSE</definedName>
    <definedName name="hn.ModelType" hidden="1">"DEAL"</definedName>
    <definedName name="hn.ModelVersion" hidden="1">1</definedName>
    <definedName name="hn.NoUpload" hidden="1">0</definedName>
    <definedName name="hoha" hidden="1">{"PYGT",#N/A,FALSE,"PYG";"ACTIT",#N/A,FALSE,"BCE_GRAL-ACTIVO";"PASIT",#N/A,FALSE,"BCE_GRAL-PASIVO-PATRIM";"CAJAT",#N/A,FALSE,"CAJA"}</definedName>
    <definedName name="hoja" localSheetId="4" hidden="1">[1]Assumptions!#REF!</definedName>
    <definedName name="hoja" localSheetId="3" hidden="1">[1]Assumptions!#REF!</definedName>
    <definedName name="hoja" localSheetId="2" hidden="1">[1]Assumptions!#REF!</definedName>
    <definedName name="hoja" hidden="1">[1]Assumptions!#REF!</definedName>
    <definedName name="hojanueva" hidden="1">{#N/A,#N/A,FALSE,"SMT1";#N/A,#N/A,FALSE,"SMT2";#N/A,#N/A,FALSE,"Summary";#N/A,#N/A,FALSE,"Graphs";#N/A,#N/A,FALSE,"4 Panel"}</definedName>
    <definedName name="HOLA" hidden="1">{"'18'!$A$5:$M$18"}</definedName>
    <definedName name="HTML_CodePage" hidden="1">1252</definedName>
    <definedName name="HTML_Control" localSheetId="4" hidden="1">{"'S. C. B.'!$E$207"}</definedName>
    <definedName name="HTML_Control" localSheetId="3" hidden="1">{"'S. C. B.'!$E$207"}</definedName>
    <definedName name="HTML_Control" localSheetId="2" hidden="1">{"'S. C. B.'!$E$207"}</definedName>
    <definedName name="HTML_Control" hidden="1">{"'S. C. B.'!$E$207"}</definedName>
    <definedName name="Html_control1" hidden="1">{"'18'!$A$5:$M$18"}</definedName>
    <definedName name="HTML_Description" hidden="1">""</definedName>
    <definedName name="HTML_Email" hidden="1">""</definedName>
    <definedName name="HTML_Header" hidden="1">"S. C. B."</definedName>
    <definedName name="HTML_LastUpdate" hidden="1">"20/6/00"</definedName>
    <definedName name="HTML_LineAfter" hidden="1">FALSE</definedName>
    <definedName name="HTML_LineBefore" hidden="1">FALSE</definedName>
    <definedName name="HTML_Name" hidden="1">"Nery Tuirán"</definedName>
    <definedName name="HTML_OBDlg2" hidden="1">TRUE</definedName>
    <definedName name="HTML_OBDlg3" hidden="1">TRUE</definedName>
    <definedName name="HTML_OBDlg4" hidden="1">TRUE</definedName>
    <definedName name="HTML_OS" hidden="1">0</definedName>
    <definedName name="HTML_PathFile" hidden="1">"A:\HTML.htm"</definedName>
    <definedName name="HTML_PathTemplate" hidden="1">"D:\Pruebas\HTML.htm"</definedName>
    <definedName name="HTML_Title" hidden="1">"FIRMAS COMISIONISTAS"</definedName>
    <definedName name="iiiiiiiiiiiiii" localSheetId="4" hidden="1">{"PYGT",#N/A,FALSE,"PYG";"ACTIT",#N/A,FALSE,"BCE_GRAL-ACTIVO";"PASIT",#N/A,FALSE,"BCE_GRAL-PASIVO-PATRIM";"CAJAT",#N/A,FALSE,"CAJA"}</definedName>
    <definedName name="iiiiiiiiiiiiii" localSheetId="3" hidden="1">{"PYGT",#N/A,FALSE,"PYG";"ACTIT",#N/A,FALSE,"BCE_GRAL-ACTIVO";"PASIT",#N/A,FALSE,"BCE_GRAL-PASIVO-PATRIM";"CAJAT",#N/A,FALSE,"CAJA"}</definedName>
    <definedName name="iiiiiiiiiiiiii" localSheetId="2" hidden="1">{"PYGT",#N/A,FALSE,"PYG";"ACTIT",#N/A,FALSE,"BCE_GRAL-ACTIVO";"PASIT",#N/A,FALSE,"BCE_GRAL-PASIVO-PATRIM";"CAJAT",#N/A,FALSE,"CAJA"}</definedName>
    <definedName name="iiiiiiiiiiiiii" hidden="1">{"PYGT",#N/A,FALSE,"PYG";"ACTIT",#N/A,FALSE,"BCE_GRAL-ACTIVO";"PASIT",#N/A,FALSE,"BCE_GRAL-PASIVO-PATRIM";"CAJAT",#N/A,FALSE,"CAJA"}</definedName>
    <definedName name="ij" localSheetId="4" hidden="1">{#N/A,#N/A,FALSE,"Aging Summary";#N/A,#N/A,FALSE,"Ratio Analysis";#N/A,#N/A,FALSE,"Test 120 Day Accts";#N/A,#N/A,FALSE,"Tickmarks"}</definedName>
    <definedName name="ij" localSheetId="3" hidden="1">{#N/A,#N/A,FALSE,"Aging Summary";#N/A,#N/A,FALSE,"Ratio Analysis";#N/A,#N/A,FALSE,"Test 120 Day Accts";#N/A,#N/A,FALSE,"Tickmarks"}</definedName>
    <definedName name="ij" localSheetId="2" hidden="1">{#N/A,#N/A,FALSE,"Aging Summary";#N/A,#N/A,FALSE,"Ratio Analysis";#N/A,#N/A,FALSE,"Test 120 Day Accts";#N/A,#N/A,FALSE,"Tickmarks"}</definedName>
    <definedName name="ij" hidden="1">{#N/A,#N/A,FALSE,"Aging Summary";#N/A,#N/A,FALSE,"Ratio Analysis";#N/A,#N/A,FALSE,"Test 120 Day Accts";#N/A,#N/A,FALSE,"Tickmarks"}</definedName>
    <definedName name="ind" hidden="1">{"'18'!$A$5:$M$18"}</definedName>
    <definedName name="Indus" hidden="1">{"'18'!$A$5:$M$18"}</definedName>
    <definedName name="ingrid" hidden="1">{#N/A,#N/A,FALSE,"balance";#N/A,#N/A,FALSE,"PYG"}</definedName>
    <definedName name="InícioDeSemana" localSheetId="8">#REF!</definedName>
    <definedName name="InícioDeSemana">#REF!</definedName>
    <definedName name="INT_PRES_2" hidden="1">{#N/A,#N/A,FALSE,"Full";#N/A,#N/A,FALSE,"Half";#N/A,#N/A,FALSE,"Op Expenses";#N/A,#N/A,FALSE,"Cap Charge";#N/A,#N/A,FALSE,"Cost C";#N/A,#N/A,FALSE,"PP&amp;E";#N/A,#N/A,FALSE,"R&amp;D"}</definedName>
    <definedName name="INTERESES" hidden="1">{#N/A,#N/A,FALSE,"Aging Summary";#N/A,#N/A,FALSE,"Ratio Analysis";#N/A,#N/A,FALSE,"Test 120 Day Accts";#N/A,#N/A,FALSE,"Tickmarks"}</definedName>
    <definedName name="inven" localSheetId="6" hidden="1">{#N/A,#N/A,FALSE,"balance";#N/A,#N/A,FALSE,"PYG"}</definedName>
    <definedName name="inven" localSheetId="1" hidden="1">{#N/A,#N/A,FALSE,"balance";#N/A,#N/A,FALSE,"PYG"}</definedName>
    <definedName name="inven" localSheetId="4" hidden="1">{#N/A,#N/A,FALSE,"balance";#N/A,#N/A,FALSE,"PYG"}</definedName>
    <definedName name="inven" localSheetId="0" hidden="1">{#N/A,#N/A,FALSE,"balance";#N/A,#N/A,FALSE,"PYG"}</definedName>
    <definedName name="inven" localSheetId="3" hidden="1">{#N/A,#N/A,FALSE,"balance";#N/A,#N/A,FALSE,"PYG"}</definedName>
    <definedName name="inven" localSheetId="2" hidden="1">{#N/A,#N/A,FALSE,"balance";#N/A,#N/A,FALSE,"PYG"}</definedName>
    <definedName name="inven" localSheetId="5" hidden="1">{#N/A,#N/A,FALSE,"balance";#N/A,#N/A,FALSE,"PYG"}</definedName>
    <definedName name="inven" localSheetId="7" hidden="1">{#N/A,#N/A,FALSE,"balance";#N/A,#N/A,FALSE,"PYG"}</definedName>
    <definedName name="inven" hidden="1">{#N/A,#N/A,FALSE,"balance";#N/A,#N/A,FALSE,"PYG"}</definedName>
    <definedName name="Inven2" localSheetId="6" hidden="1">{#N/A,#N/A,FALSE,"balance";#N/A,#N/A,FALSE,"PYG"}</definedName>
    <definedName name="Inven2" localSheetId="1" hidden="1">{#N/A,#N/A,FALSE,"balance";#N/A,#N/A,FALSE,"PYG"}</definedName>
    <definedName name="Inven2" localSheetId="4" hidden="1">{#N/A,#N/A,FALSE,"balance";#N/A,#N/A,FALSE,"PYG"}</definedName>
    <definedName name="Inven2" localSheetId="0" hidden="1">{#N/A,#N/A,FALSE,"balance";#N/A,#N/A,FALSE,"PYG"}</definedName>
    <definedName name="Inven2" localSheetId="3" hidden="1">{#N/A,#N/A,FALSE,"balance";#N/A,#N/A,FALSE,"PYG"}</definedName>
    <definedName name="Inven2" localSheetId="2" hidden="1">{#N/A,#N/A,FALSE,"balance";#N/A,#N/A,FALSE,"PYG"}</definedName>
    <definedName name="Inven2" localSheetId="5" hidden="1">{#N/A,#N/A,FALSE,"balance";#N/A,#N/A,FALSE,"PYG"}</definedName>
    <definedName name="Inven2" localSheetId="7" hidden="1">{#N/A,#N/A,FALSE,"balance";#N/A,#N/A,FALSE,"PYG"}</definedName>
    <definedName name="Inven2" hidden="1">{#N/A,#N/A,FALSE,"balance";#N/A,#N/A,FALSE,"PYG"}</definedName>
    <definedName name="Inversion" hidden="1">{"EVA",#N/A,FALSE,"SMT2";#N/A,#N/A,FALSE,"Summary";#N/A,#N/A,FALSE,"Graphs";#N/A,#N/A,FALSE,"4 Panel"}</definedName>
    <definedName name="IOP" hidden="1">{#N/A,#N/A,FALSE,"Aging Summary";#N/A,#N/A,FALSE,"Ratio Analysis";#N/A,#N/A,FALSE,"Test 120 Day Accts";#N/A,#N/A,FALSE,"Tickmarks"}</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45023.9208564815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sColHidden" hidden="1">FALSE</definedName>
    <definedName name="IsLTMColHidden" hidden="1">FALSE</definedName>
    <definedName name="jabalí" hidden="1">{#N/A,#N/A,FALSE,"Aging Summary";#N/A,#N/A,FALSE,"Ratio Analysis";#N/A,#N/A,FALSE,"Test 120 Day Accts";#N/A,#N/A,FALSE,"Tickmarks"}</definedName>
    <definedName name="JE" localSheetId="4" hidden="1">{"'S. C. B.'!$E$207"}</definedName>
    <definedName name="JE" localSheetId="3" hidden="1">{"'S. C. B.'!$E$207"}</definedName>
    <definedName name="JE" localSheetId="2" hidden="1">{"'S. C. B.'!$E$207"}</definedName>
    <definedName name="JE" hidden="1">{"'S. C. B.'!$E$207"}</definedName>
    <definedName name="jh" hidden="1">{#N/A,#N/A,FALSE,"Aging Summary";#N/A,#N/A,FALSE,"Ratio Analysis";#N/A,#N/A,FALSE,"Test 120 Day Accts";#N/A,#N/A,FALSE,"Tickmarks"}</definedName>
    <definedName name="jhjj" localSheetId="4" hidden="1">{"'S. C. B.'!$E$207"}</definedName>
    <definedName name="jhjj" localSheetId="3" hidden="1">{"'S. C. B.'!$E$207"}</definedName>
    <definedName name="jhjj" localSheetId="2" hidden="1">{"'S. C. B.'!$E$207"}</definedName>
    <definedName name="jhjj" hidden="1">{"'S. C. B.'!$E$207"}</definedName>
    <definedName name="JHON" hidden="1">{#N/A,#N/A,FALSE,"Aging Summary";#N/A,#N/A,FALSE,"Ratio Analysis";#N/A,#N/A,FALSE,"Test 120 Day Accts";#N/A,#N/A,FALSE,"Tickmarks"}</definedName>
    <definedName name="JJAJAJJ" localSheetId="4" hidden="1">{"'S. C. B.'!$E$207"}</definedName>
    <definedName name="JJAJAJJ" localSheetId="3" hidden="1">{"'S. C. B.'!$E$207"}</definedName>
    <definedName name="JJAJAJJ" localSheetId="2" hidden="1">{"'S. C. B.'!$E$207"}</definedName>
    <definedName name="JJAJAJJ" hidden="1">{"'S. C. B.'!$E$207"}</definedName>
    <definedName name="jjkk" hidden="1">{#N/A,#N/A,FALSE,"Aging Summary";#N/A,#N/A,FALSE,"Ratio Analysis";#N/A,#N/A,FALSE,"Test 120 Day Accts";#N/A,#N/A,FALSE,"Tickmarks"}</definedName>
    <definedName name="JKLÑ" hidden="1">{#N/A,#N/A,FALSE,"Aging Summary";#N/A,#N/A,FALSE,"Ratio Analysis";#N/A,#N/A,FALSE,"Test 120 Day Accts";#N/A,#N/A,FALSE,"Tickmarks"}</definedName>
    <definedName name="JOSE" hidden="1">{#N/A,#N/A,FALSE,"balance";#N/A,#N/A,FALSE,"PYG"}</definedName>
    <definedName name="juan" localSheetId="6" hidden="1">{#N/A,#N/A,FALSE,"balance";#N/A,#N/A,FALSE,"PYG"}</definedName>
    <definedName name="juan" localSheetId="4" hidden="1">{#N/A,#N/A,FALSE,"balance";#N/A,#N/A,FALSE,"PYG"}</definedName>
    <definedName name="juan" localSheetId="3" hidden="1">{#N/A,#N/A,FALSE,"balance";#N/A,#N/A,FALSE,"PYG"}</definedName>
    <definedName name="juan" localSheetId="2" hidden="1">{#N/A,#N/A,FALSE,"balance";#N/A,#N/A,FALSE,"PYG"}</definedName>
    <definedName name="juan" localSheetId="5" hidden="1">{#N/A,#N/A,FALSE,"balance";#N/A,#N/A,FALSE,"PYG"}</definedName>
    <definedName name="juan" localSheetId="7" hidden="1">{#N/A,#N/A,FALSE,"balance";#N/A,#N/A,FALSE,"PYG"}</definedName>
    <definedName name="juan" hidden="1">{#N/A,#N/A,FALSE,"balance";#N/A,#N/A,FALSE,"PYG"}</definedName>
    <definedName name="JULIO" localSheetId="4" hidden="1">{"'S. C. B.'!$E$207"}</definedName>
    <definedName name="JULIO" localSheetId="3" hidden="1">{"'S. C. B.'!$E$207"}</definedName>
    <definedName name="JULIO" localSheetId="2" hidden="1">{"'S. C. B.'!$E$207"}</definedName>
    <definedName name="JULIO" hidden="1">{"'S. C. B.'!$E$207"}</definedName>
    <definedName name="JUNIO" localSheetId="4" hidden="1">{"'S. C. B.'!$E$207"}</definedName>
    <definedName name="JUNIO" localSheetId="3" hidden="1">{"'S. C. B.'!$E$207"}</definedName>
    <definedName name="JUNIO" localSheetId="2" hidden="1">{"'S. C. B.'!$E$207"}</definedName>
    <definedName name="JUNIO" hidden="1">{"'S. C. B.'!$E$207"}</definedName>
    <definedName name="JV" localSheetId="4" hidden="1">{"'S. C. B.'!$E$207"}</definedName>
    <definedName name="JV" localSheetId="3" hidden="1">{"'S. C. B.'!$E$207"}</definedName>
    <definedName name="JV" localSheetId="2" hidden="1">{"'S. C. B.'!$E$207"}</definedName>
    <definedName name="JV" hidden="1">{"'S. C. B.'!$E$207"}</definedName>
    <definedName name="K" localSheetId="4" hidden="1">{"PYGT",#N/A,FALSE,"PYG";"ACTIT",#N/A,FALSE,"BCE_GRAL-ACTIVO";"PASIT",#N/A,FALSE,"BCE_GRAL-PASIVO-PATRIM";"CAJAT",#N/A,FALSE,"CAJA"}</definedName>
    <definedName name="K" localSheetId="3" hidden="1">{"PYGT",#N/A,FALSE,"PYG";"ACTIT",#N/A,FALSE,"BCE_GRAL-ACTIVO";"PASIT",#N/A,FALSE,"BCE_GRAL-PASIVO-PATRIM";"CAJAT",#N/A,FALSE,"CAJA"}</definedName>
    <definedName name="K" localSheetId="2" hidden="1">{"PYGT",#N/A,FALSE,"PYG";"ACTIT",#N/A,FALSE,"BCE_GRAL-ACTIVO";"PASIT",#N/A,FALSE,"BCE_GRAL-PASIVO-PATRIM";"CAJAT",#N/A,FALSE,"CAJA"}</definedName>
    <definedName name="K" hidden="1">{"PYGT",#N/A,FALSE,"PYG";"ACTIT",#N/A,FALSE,"BCE_GRAL-ACTIVO";"PASIT",#N/A,FALSE,"BCE_GRAL-PASIVO-PATRIM";"CAJAT",#N/A,FALSE,"CAJA"}</definedName>
    <definedName name="kbv" hidden="1">{#N/A,#N/A,FALSE,"Aging Summary";#N/A,#N/A,FALSE,"Ratio Analysis";#N/A,#N/A,FALSE,"Test 120 Day Accts";#N/A,#N/A,FALSE,"Tickmarks"}</definedName>
    <definedName name="KENELMA" hidden="1">{#N/A,#N/A,FALSE,"Aging Summary";#N/A,#N/A,FALSE,"Ratio Analysis";#N/A,#N/A,FALSE,"Test 120 Day Accts";#N/A,#N/A,FALSE,"Tickmarks"}</definedName>
    <definedName name="KJ" localSheetId="4" hidden="1">{#N/A,#N/A,FALSE,"Aging Summary";#N/A,#N/A,FALSE,"Ratio Analysis";#N/A,#N/A,FALSE,"Test 120 Day Accts";#N/A,#N/A,FALSE,"Tickmarks"}</definedName>
    <definedName name="KJ" localSheetId="3" hidden="1">{#N/A,#N/A,FALSE,"Aging Summary";#N/A,#N/A,FALSE,"Ratio Analysis";#N/A,#N/A,FALSE,"Test 120 Day Accts";#N/A,#N/A,FALSE,"Tickmarks"}</definedName>
    <definedName name="KJ" localSheetId="2" hidden="1">{#N/A,#N/A,FALSE,"Aging Summary";#N/A,#N/A,FALSE,"Ratio Analysis";#N/A,#N/A,FALSE,"Test 120 Day Accts";#N/A,#N/A,FALSE,"Tickmarks"}</definedName>
    <definedName name="KJ" hidden="1">{#N/A,#N/A,FALSE,"Aging Summary";#N/A,#N/A,FALSE,"Ratio Analysis";#N/A,#N/A,FALSE,"Test 120 Day Accts";#N/A,#N/A,FALSE,"Tickmarks"}</definedName>
    <definedName name="KK" localSheetId="4" hidden="1">{#N/A,#N/A,FALSE,"Aging Summary";#N/A,#N/A,FALSE,"Ratio Analysis";#N/A,#N/A,FALSE,"Test 120 Day Accts";#N/A,#N/A,FALSE,"Tickmarks"}</definedName>
    <definedName name="KK" localSheetId="3" hidden="1">{#N/A,#N/A,FALSE,"Aging Summary";#N/A,#N/A,FALSE,"Ratio Analysis";#N/A,#N/A,FALSE,"Test 120 Day Accts";#N/A,#N/A,FALSE,"Tickmarks"}</definedName>
    <definedName name="KK" localSheetId="2" hidden="1">{#N/A,#N/A,FALSE,"Aging Summary";#N/A,#N/A,FALSE,"Ratio Analysis";#N/A,#N/A,FALSE,"Test 120 Day Accts";#N/A,#N/A,FALSE,"Tickmarks"}</definedName>
    <definedName name="KK" hidden="1">{#N/A,#N/A,FALSE,"Aging Summary";#N/A,#N/A,FALSE,"Ratio Analysis";#N/A,#N/A,FALSE,"Test 120 Day Accts";#N/A,#N/A,FALSE,"Tickmarks"}</definedName>
    <definedName name="kkkkkkkkkkkkkkk" localSheetId="4" hidden="1">{"PYGT",#N/A,FALSE,"PYG";"ACTIT",#N/A,FALSE,"BCE_GRAL-ACTIVO";"PASIT",#N/A,FALSE,"BCE_GRAL-PASIVO-PATRIM";"CAJAT",#N/A,FALSE,"CAJA"}</definedName>
    <definedName name="kkkkkkkkkkkkkkk" localSheetId="3" hidden="1">{"PYGT",#N/A,FALSE,"PYG";"ACTIT",#N/A,FALSE,"BCE_GRAL-ACTIVO";"PASIT",#N/A,FALSE,"BCE_GRAL-PASIVO-PATRIM";"CAJAT",#N/A,FALSE,"CAJA"}</definedName>
    <definedName name="kkkkkkkkkkkkkkk" localSheetId="2" hidden="1">{"PYGT",#N/A,FALSE,"PYG";"ACTIT",#N/A,FALSE,"BCE_GRAL-ACTIVO";"PASIT",#N/A,FALSE,"BCE_GRAL-PASIVO-PATRIM";"CAJAT",#N/A,FALSE,"CAJA"}</definedName>
    <definedName name="kkkkkkkkkkkkkkk" hidden="1">{"PYGT",#N/A,FALSE,"PYG";"ACTIT",#N/A,FALSE,"BCE_GRAL-ACTIVO";"PASIT",#N/A,FALSE,"BCE_GRAL-PASIVO-PATRIM";"CAJAT",#N/A,FALSE,"CAJA"}</definedName>
    <definedName name="kklñp" hidden="1">{#N/A,#N/A,FALSE,"Aging Summary";#N/A,#N/A,FALSE,"Ratio Analysis";#N/A,#N/A,FALSE,"Test 120 Day Accts";#N/A,#N/A,FALSE,"Tickmarks"}</definedName>
    <definedName name="KL" hidden="1">{"PYGS",#N/A,FALSE,"PYG";"ACTIS",#N/A,FALSE,"BCE_GRAL-ACTIVO";"PASIS",#N/A,FALSE,"BCE_GRAL-PASIVO-PATRIM";"CAJAS",#N/A,FALSE,"CAJA"}</definedName>
    <definedName name="kwhtot" localSheetId="4" hidden="1">{"KWHTONTOTAL",#N/A,FALSE,"KWHTON"}</definedName>
    <definedName name="kwhtot" localSheetId="3" hidden="1">{"KWHTONTOTAL",#N/A,FALSE,"KWHTON"}</definedName>
    <definedName name="kwhtot" localSheetId="2" hidden="1">{"KWHTONTOTAL",#N/A,FALSE,"KWHTON"}</definedName>
    <definedName name="kwhtot" hidden="1">{"KWHTONTOTAL",#N/A,FALSE,"KWHTON"}</definedName>
    <definedName name="lakdjsflkjshdafl" localSheetId="4" hidden="1">#REF!</definedName>
    <definedName name="lakdjsflkjshdafl" localSheetId="3" hidden="1">#REF!</definedName>
    <definedName name="lakdjsflkjshdafl" localSheetId="2" hidden="1">#REF!</definedName>
    <definedName name="lakdjsflkjshdafl" hidden="1">#REF!</definedName>
    <definedName name="laslala" localSheetId="4" hidden="1">{#N/A,#N/A,TRUE,"Cond";#N/A,#N/A,TRUE,"Bce_hold";#N/A,#N/A,TRUE,"eerr_hold";#N/A,#N/A,TRUE,"eerr_prod";#N/A,#N/A,TRUE,"eerr_tipogtos";#N/A,#N/A,TRUE,"Flujo";#N/A,#N/A,TRUE,"Var_Ebit";#N/A,#N/A,TRUE,"Noa";#N/A,#N/A,TRUE,"Var_Noa"}</definedName>
    <definedName name="laslala" localSheetId="3" hidden="1">{#N/A,#N/A,TRUE,"Cond";#N/A,#N/A,TRUE,"Bce_hold";#N/A,#N/A,TRUE,"eerr_hold";#N/A,#N/A,TRUE,"eerr_prod";#N/A,#N/A,TRUE,"eerr_tipogtos";#N/A,#N/A,TRUE,"Flujo";#N/A,#N/A,TRUE,"Var_Ebit";#N/A,#N/A,TRUE,"Noa";#N/A,#N/A,TRUE,"Var_Noa"}</definedName>
    <definedName name="laslala" localSheetId="2" hidden="1">{#N/A,#N/A,TRUE,"Cond";#N/A,#N/A,TRUE,"Bce_hold";#N/A,#N/A,TRUE,"eerr_hold";#N/A,#N/A,TRUE,"eerr_prod";#N/A,#N/A,TRUE,"eerr_tipogtos";#N/A,#N/A,TRUE,"Flujo";#N/A,#N/A,TRUE,"Var_Ebit";#N/A,#N/A,TRUE,"Noa";#N/A,#N/A,TRUE,"Var_Noa"}</definedName>
    <definedName name="laslala" hidden="1">{#N/A,#N/A,TRUE,"Cond";#N/A,#N/A,TRUE,"Bce_hold";#N/A,#N/A,TRUE,"eerr_hold";#N/A,#N/A,TRUE,"eerr_prod";#N/A,#N/A,TRUE,"eerr_tipogtos";#N/A,#N/A,TRUE,"Flujo";#N/A,#N/A,TRUE,"Var_Ebit";#N/A,#N/A,TRUE,"Noa";#N/A,#N/A,TRUE,"Var_Noa"}</definedName>
    <definedName name="LDC" localSheetId="4" hidden="1">{#N/A,#N/A,FALSE,"Aging Summary";#N/A,#N/A,FALSE,"Ratio Analysis";#N/A,#N/A,FALSE,"Test 120 Day Accts";#N/A,#N/A,FALSE,"Tickmarks"}</definedName>
    <definedName name="LDC" localSheetId="3" hidden="1">{#N/A,#N/A,FALSE,"Aging Summary";#N/A,#N/A,FALSE,"Ratio Analysis";#N/A,#N/A,FALSE,"Test 120 Day Accts";#N/A,#N/A,FALSE,"Tickmarks"}</definedName>
    <definedName name="LDC" localSheetId="2" hidden="1">{#N/A,#N/A,FALSE,"Aging Summary";#N/A,#N/A,FALSE,"Ratio Analysis";#N/A,#N/A,FALSE,"Test 120 Day Accts";#N/A,#N/A,FALSE,"Tickmarks"}</definedName>
    <definedName name="LDC" hidden="1">{#N/A,#N/A,FALSE,"Aging Summary";#N/A,#N/A,FALSE,"Ratio Analysis";#N/A,#N/A,FALSE,"Test 120 Day Accts";#N/A,#N/A,FALSE,"Tickmarks"}</definedName>
    <definedName name="LINA10" localSheetId="4" hidden="1">{#N/A,#N/A,FALSE,"Aging Summary";#N/A,#N/A,FALSE,"Ratio Analysis";#N/A,#N/A,FALSE,"Test 120 Day Accts";#N/A,#N/A,FALSE,"Tickmarks"}</definedName>
    <definedName name="LINA10" localSheetId="3" hidden="1">{#N/A,#N/A,FALSE,"Aging Summary";#N/A,#N/A,FALSE,"Ratio Analysis";#N/A,#N/A,FALSE,"Test 120 Day Accts";#N/A,#N/A,FALSE,"Tickmarks"}</definedName>
    <definedName name="LINA10" localSheetId="2" hidden="1">{#N/A,#N/A,FALSE,"Aging Summary";#N/A,#N/A,FALSE,"Ratio Analysis";#N/A,#N/A,FALSE,"Test 120 Day Accts";#N/A,#N/A,FALSE,"Tickmarks"}</definedName>
    <definedName name="LINA10" hidden="1">{#N/A,#N/A,FALSE,"Aging Summary";#N/A,#N/A,FALSE,"Ratio Analysis";#N/A,#N/A,FALSE,"Test 120 Day Accts";#N/A,#N/A,FALSE,"Tickmarks"}</definedName>
    <definedName name="lina11" localSheetId="4" hidden="1">{#N/A,#N/A,FALSE,"Aging Summary";#N/A,#N/A,FALSE,"Ratio Analysis";#N/A,#N/A,FALSE,"Test 120 Day Accts";#N/A,#N/A,FALSE,"Tickmarks"}</definedName>
    <definedName name="lina11" localSheetId="3" hidden="1">{#N/A,#N/A,FALSE,"Aging Summary";#N/A,#N/A,FALSE,"Ratio Analysis";#N/A,#N/A,FALSE,"Test 120 Day Accts";#N/A,#N/A,FALSE,"Tickmarks"}</definedName>
    <definedName name="lina11" localSheetId="2" hidden="1">{#N/A,#N/A,FALSE,"Aging Summary";#N/A,#N/A,FALSE,"Ratio Analysis";#N/A,#N/A,FALSE,"Test 120 Day Accts";#N/A,#N/A,FALSE,"Tickmarks"}</definedName>
    <definedName name="lina11" hidden="1">{#N/A,#N/A,FALSE,"Aging Summary";#N/A,#N/A,FALSE,"Ratio Analysis";#N/A,#N/A,FALSE,"Test 120 Day Accts";#N/A,#N/A,FALSE,"Tickmarks"}</definedName>
    <definedName name="lina12" localSheetId="4" hidden="1">{#N/A,#N/A,FALSE,"Aging Summary";#N/A,#N/A,FALSE,"Ratio Analysis";#N/A,#N/A,FALSE,"Test 120 Day Accts";#N/A,#N/A,FALSE,"Tickmarks"}</definedName>
    <definedName name="lina12" localSheetId="3" hidden="1">{#N/A,#N/A,FALSE,"Aging Summary";#N/A,#N/A,FALSE,"Ratio Analysis";#N/A,#N/A,FALSE,"Test 120 Day Accts";#N/A,#N/A,FALSE,"Tickmarks"}</definedName>
    <definedName name="lina12" localSheetId="2" hidden="1">{#N/A,#N/A,FALSE,"Aging Summary";#N/A,#N/A,FALSE,"Ratio Analysis";#N/A,#N/A,FALSE,"Test 120 Day Accts";#N/A,#N/A,FALSE,"Tickmarks"}</definedName>
    <definedName name="lina12" hidden="1">{#N/A,#N/A,FALSE,"Aging Summary";#N/A,#N/A,FALSE,"Ratio Analysis";#N/A,#N/A,FALSE,"Test 120 Day Accts";#N/A,#N/A,FALSE,"Tickmarks"}</definedName>
    <definedName name="LINA15" localSheetId="4" hidden="1">{#N/A,#N/A,FALSE,"Aging Summary";#N/A,#N/A,FALSE,"Ratio Analysis";#N/A,#N/A,FALSE,"Test 120 Day Accts";#N/A,#N/A,FALSE,"Tickmarks"}</definedName>
    <definedName name="LINA15" localSheetId="3" hidden="1">{#N/A,#N/A,FALSE,"Aging Summary";#N/A,#N/A,FALSE,"Ratio Analysis";#N/A,#N/A,FALSE,"Test 120 Day Accts";#N/A,#N/A,FALSE,"Tickmarks"}</definedName>
    <definedName name="LINA15" localSheetId="2" hidden="1">{#N/A,#N/A,FALSE,"Aging Summary";#N/A,#N/A,FALSE,"Ratio Analysis";#N/A,#N/A,FALSE,"Test 120 Day Accts";#N/A,#N/A,FALSE,"Tickmarks"}</definedName>
    <definedName name="LINA15" hidden="1">{#N/A,#N/A,FALSE,"Aging Summary";#N/A,#N/A,FALSE,"Ratio Analysis";#N/A,#N/A,FALSE,"Test 120 Day Accts";#N/A,#N/A,FALSE,"Tickmarks"}</definedName>
    <definedName name="lina2" hidden="1">38</definedName>
    <definedName name="LINA20" localSheetId="4" hidden="1">{#N/A,#N/A,FALSE,"Aging Summary";#N/A,#N/A,FALSE,"Ratio Analysis";#N/A,#N/A,FALSE,"Test 120 Day Accts";#N/A,#N/A,FALSE,"Tickmarks"}</definedName>
    <definedName name="LINA20" localSheetId="3" hidden="1">{#N/A,#N/A,FALSE,"Aging Summary";#N/A,#N/A,FALSE,"Ratio Analysis";#N/A,#N/A,FALSE,"Test 120 Day Accts";#N/A,#N/A,FALSE,"Tickmarks"}</definedName>
    <definedName name="LINA20" localSheetId="2" hidden="1">{#N/A,#N/A,FALSE,"Aging Summary";#N/A,#N/A,FALSE,"Ratio Analysis";#N/A,#N/A,FALSE,"Test 120 Day Accts";#N/A,#N/A,FALSE,"Tickmarks"}</definedName>
    <definedName name="LINA20" hidden="1">{#N/A,#N/A,FALSE,"Aging Summary";#N/A,#N/A,FALSE,"Ratio Analysis";#N/A,#N/A,FALSE,"Test 120 Day Accts";#N/A,#N/A,FALSE,"Tickmarks"}</definedName>
    <definedName name="LINA3" localSheetId="4" hidden="1">{#N/A,#N/A,FALSE,"Aging Summary";#N/A,#N/A,FALSE,"Ratio Analysis";#N/A,#N/A,FALSE,"Test 120 Day Accts";#N/A,#N/A,FALSE,"Tickmarks"}</definedName>
    <definedName name="LINA3" localSheetId="3" hidden="1">{#N/A,#N/A,FALSE,"Aging Summary";#N/A,#N/A,FALSE,"Ratio Analysis";#N/A,#N/A,FALSE,"Test 120 Day Accts";#N/A,#N/A,FALSE,"Tickmarks"}</definedName>
    <definedName name="LINA3" localSheetId="2" hidden="1">{#N/A,#N/A,FALSE,"Aging Summary";#N/A,#N/A,FALSE,"Ratio Analysis";#N/A,#N/A,FALSE,"Test 120 Day Accts";#N/A,#N/A,FALSE,"Tickmarks"}</definedName>
    <definedName name="LINA3" hidden="1">{#N/A,#N/A,FALSE,"Aging Summary";#N/A,#N/A,FALSE,"Ratio Analysis";#N/A,#N/A,FALSE,"Test 120 Day Accts";#N/A,#N/A,FALSE,"Tickmarks"}</definedName>
    <definedName name="LINA4" localSheetId="4" hidden="1">{#N/A,#N/A,FALSE,"Aging Summary";#N/A,#N/A,FALSE,"Ratio Analysis";#N/A,#N/A,FALSE,"Test 120 Day Accts";#N/A,#N/A,FALSE,"Tickmarks"}</definedName>
    <definedName name="LINA4" localSheetId="3" hidden="1">{#N/A,#N/A,FALSE,"Aging Summary";#N/A,#N/A,FALSE,"Ratio Analysis";#N/A,#N/A,FALSE,"Test 120 Day Accts";#N/A,#N/A,FALSE,"Tickmarks"}</definedName>
    <definedName name="LINA4" localSheetId="2" hidden="1">{#N/A,#N/A,FALSE,"Aging Summary";#N/A,#N/A,FALSE,"Ratio Analysis";#N/A,#N/A,FALSE,"Test 120 Day Accts";#N/A,#N/A,FALSE,"Tickmarks"}</definedName>
    <definedName name="LINA4" hidden="1">{#N/A,#N/A,FALSE,"Aging Summary";#N/A,#N/A,FALSE,"Ratio Analysis";#N/A,#N/A,FALSE,"Test 120 Day Accts";#N/A,#N/A,FALSE,"Tickmarks"}</definedName>
    <definedName name="LINA5" localSheetId="4" hidden="1">{#N/A,#N/A,FALSE,"Aging Summary";#N/A,#N/A,FALSE,"Ratio Analysis";#N/A,#N/A,FALSE,"Test 120 Day Accts";#N/A,#N/A,FALSE,"Tickmarks"}</definedName>
    <definedName name="LINA5" localSheetId="3" hidden="1">{#N/A,#N/A,FALSE,"Aging Summary";#N/A,#N/A,FALSE,"Ratio Analysis";#N/A,#N/A,FALSE,"Test 120 Day Accts";#N/A,#N/A,FALSE,"Tickmarks"}</definedName>
    <definedName name="LINA5" localSheetId="2" hidden="1">{#N/A,#N/A,FALSE,"Aging Summary";#N/A,#N/A,FALSE,"Ratio Analysis";#N/A,#N/A,FALSE,"Test 120 Day Accts";#N/A,#N/A,FALSE,"Tickmarks"}</definedName>
    <definedName name="LINA5" hidden="1">{#N/A,#N/A,FALSE,"Aging Summary";#N/A,#N/A,FALSE,"Ratio Analysis";#N/A,#N/A,FALSE,"Test 120 Day Accts";#N/A,#N/A,FALSE,"Tickmarks"}</definedName>
    <definedName name="LINA6" localSheetId="4" hidden="1">{#N/A,#N/A,FALSE,"Aging Summary";#N/A,#N/A,FALSE,"Ratio Analysis";#N/A,#N/A,FALSE,"Test 120 Day Accts";#N/A,#N/A,FALSE,"Tickmarks"}</definedName>
    <definedName name="LINA6" localSheetId="3" hidden="1">{#N/A,#N/A,FALSE,"Aging Summary";#N/A,#N/A,FALSE,"Ratio Analysis";#N/A,#N/A,FALSE,"Test 120 Day Accts";#N/A,#N/A,FALSE,"Tickmarks"}</definedName>
    <definedName name="LINA6" localSheetId="2" hidden="1">{#N/A,#N/A,FALSE,"Aging Summary";#N/A,#N/A,FALSE,"Ratio Analysis";#N/A,#N/A,FALSE,"Test 120 Day Accts";#N/A,#N/A,FALSE,"Tickmarks"}</definedName>
    <definedName name="LINA6" hidden="1">{#N/A,#N/A,FALSE,"Aging Summary";#N/A,#N/A,FALSE,"Ratio Analysis";#N/A,#N/A,FALSE,"Test 120 Day Accts";#N/A,#N/A,FALSE,"Tickmarks"}</definedName>
    <definedName name="LINA9" localSheetId="4" hidden="1">{#N/A,#N/A,FALSE,"Aging Summary";#N/A,#N/A,FALSE,"Ratio Analysis";#N/A,#N/A,FALSE,"Test 120 Day Accts";#N/A,#N/A,FALSE,"Tickmarks"}</definedName>
    <definedName name="LINA9" localSheetId="3" hidden="1">{#N/A,#N/A,FALSE,"Aging Summary";#N/A,#N/A,FALSE,"Ratio Analysis";#N/A,#N/A,FALSE,"Test 120 Day Accts";#N/A,#N/A,FALSE,"Tickmarks"}</definedName>
    <definedName name="LINA9" localSheetId="2" hidden="1">{#N/A,#N/A,FALSE,"Aging Summary";#N/A,#N/A,FALSE,"Ratio Analysis";#N/A,#N/A,FALSE,"Test 120 Day Accts";#N/A,#N/A,FALSE,"Tickmarks"}</definedName>
    <definedName name="LINA9" hidden="1">{#N/A,#N/A,FALSE,"Aging Summary";#N/A,#N/A,FALSE,"Ratio Analysis";#N/A,#N/A,FALSE,"Test 120 Day Accts";#N/A,#N/A,FALSE,"Tickmarks"}</definedName>
    <definedName name="Lista1" localSheetId="8">[8]ERI!$A$2:$A$4</definedName>
    <definedName name="Lista1">[9]Consolidado!$A$2:$A$4</definedName>
    <definedName name="ListOffset" hidden="1">1</definedName>
    <definedName name="LJ" localSheetId="4" hidden="1">{"'S. C. B.'!$E$207"}</definedName>
    <definedName name="LJ" localSheetId="3" hidden="1">{"'S. C. B.'!$E$207"}</definedName>
    <definedName name="LJ" localSheetId="2" hidden="1">{"'S. C. B.'!$E$207"}</definedName>
    <definedName name="LJ" hidden="1">{"'S. C. B.'!$E$207"}</definedName>
    <definedName name="LKÑ" hidden="1">{#N/A,#N/A,FALSE,"Aging Summary";#N/A,#N/A,FALSE,"Ratio Analysis";#N/A,#N/A,FALSE,"Test 120 Day Accts";#N/A,#N/A,FALSE,"Tickmarks"}</definedName>
    <definedName name="ll" localSheetId="4" hidden="1">{#N/A,#N/A,FALSE,"Aging Summary";#N/A,#N/A,FALSE,"Ratio Analysis";#N/A,#N/A,FALSE,"Test 120 Day Accts";#N/A,#N/A,FALSE,"Tickmarks"}</definedName>
    <definedName name="ll" localSheetId="3" hidden="1">{#N/A,#N/A,FALSE,"Aging Summary";#N/A,#N/A,FALSE,"Ratio Analysis";#N/A,#N/A,FALSE,"Test 120 Day Accts";#N/A,#N/A,FALSE,"Tickmarks"}</definedName>
    <definedName name="ll" localSheetId="2" hidden="1">{#N/A,#N/A,FALSE,"Aging Summary";#N/A,#N/A,FALSE,"Ratio Analysis";#N/A,#N/A,FALSE,"Test 120 Day Accts";#N/A,#N/A,FALSE,"Tickmarks"}</definedName>
    <definedName name="ll" hidden="1">{#N/A,#N/A,FALSE,"Aging Summary";#N/A,#N/A,FALSE,"Ratio Analysis";#N/A,#N/A,FALSE,"Test 120 Day Accts";#N/A,#N/A,FALSE,"Tickmarks"}</definedName>
    <definedName name="LM" localSheetId="4" hidden="1">{#N/A,#N/A,FALSE,"Aging Summary";#N/A,#N/A,FALSE,"Ratio Analysis";#N/A,#N/A,FALSE,"Test 120 Day Accts";#N/A,#N/A,FALSE,"Tickmarks"}</definedName>
    <definedName name="LM" localSheetId="3" hidden="1">{#N/A,#N/A,FALSE,"Aging Summary";#N/A,#N/A,FALSE,"Ratio Analysis";#N/A,#N/A,FALSE,"Test 120 Day Accts";#N/A,#N/A,FALSE,"Tickmarks"}</definedName>
    <definedName name="LM" localSheetId="2" hidden="1">{#N/A,#N/A,FALSE,"Aging Summary";#N/A,#N/A,FALSE,"Ratio Analysis";#N/A,#N/A,FALSE,"Test 120 Day Accts";#N/A,#N/A,FALSE,"Tickmarks"}</definedName>
    <definedName name="LM" hidden="1">{#N/A,#N/A,FALSE,"Aging Summary";#N/A,#N/A,FALSE,"Ratio Analysis";#N/A,#N/A,FALSE,"Test 120 Day Accts";#N/A,#N/A,FALSE,"Tickmarks"}</definedName>
    <definedName name="LOGISTICA" localSheetId="4" hidden="1">{"'S. C. B.'!$E$207"}</definedName>
    <definedName name="LOGISTICA" localSheetId="3" hidden="1">{"'S. C. B.'!$E$207"}</definedName>
    <definedName name="LOGISTICA" localSheetId="2" hidden="1">{"'S. C. B.'!$E$207"}</definedName>
    <definedName name="LOGISTICA" hidden="1">{"'S. C. B.'!$E$207"}</definedName>
    <definedName name="luisafdgsdfgsdfgsdfg" hidden="1">'[10]D. VARIOS (1380)'!#REF!</definedName>
    <definedName name="Luz" localSheetId="4" hidden="1">{#N/A,#N/A,FALSE,"balance";#N/A,#N/A,FALSE,"PYG"}</definedName>
    <definedName name="Luz" localSheetId="3" hidden="1">{#N/A,#N/A,FALSE,"balance";#N/A,#N/A,FALSE,"PYG"}</definedName>
    <definedName name="Luz" localSheetId="2" hidden="1">{#N/A,#N/A,FALSE,"balance";#N/A,#N/A,FALSE,"PYG"}</definedName>
    <definedName name="Luz" hidden="1">{#N/A,#N/A,FALSE,"balance";#N/A,#N/A,FALSE,"PYG"}</definedName>
    <definedName name="magd" hidden="1">{#N/A,#N/A,FALSE,"GRAFICO";#N/A,#N/A,FALSE,"CAJA (2)";#N/A,#N/A,FALSE,"TERCEROS-PROMEDIO";#N/A,#N/A,FALSE,"CAJA";#N/A,#N/A,FALSE,"INGRESOS1995-2003";#N/A,#N/A,FALSE,"GASTOS1995-2003"}</definedName>
    <definedName name="MAM" localSheetId="4" hidden="1">{#N/A,#N/A,FALSE,"VENTAS";#N/A,#N/A,FALSE,"U. BRUTA";#N/A,#N/A,FALSE,"G. PERSONAL";#N/A,#N/A,FALSE,"G. OPERACION";#N/A,#N/A,FALSE,"G. DEPYAM";#N/A,#N/A,FALSE,"INGRESOS";#N/A,#N/A,FALSE,"G.o P.1";#N/A,#N/A,FALSE,"3%Informe Junta";#N/A,#N/A,FALSE,"P Y G (2)";#N/A,#N/A,FALSE,"CART. PROV.";#N/A,#N/A,FALSE,"Usecmes";#N/A,#N/A,FALSE,"Usecacu"}</definedName>
    <definedName name="MAM" localSheetId="3" hidden="1">{#N/A,#N/A,FALSE,"VENTAS";#N/A,#N/A,FALSE,"U. BRUTA";#N/A,#N/A,FALSE,"G. PERSONAL";#N/A,#N/A,FALSE,"G. OPERACION";#N/A,#N/A,FALSE,"G. DEPYAM";#N/A,#N/A,FALSE,"INGRESOS";#N/A,#N/A,FALSE,"G.o P.1";#N/A,#N/A,FALSE,"3%Informe Junta";#N/A,#N/A,FALSE,"P Y G (2)";#N/A,#N/A,FALSE,"CART. PROV.";#N/A,#N/A,FALSE,"Usecmes";#N/A,#N/A,FALSE,"Usecacu"}</definedName>
    <definedName name="MAM" localSheetId="2" hidden="1">{#N/A,#N/A,FALSE,"VENTAS";#N/A,#N/A,FALSE,"U. BRUTA";#N/A,#N/A,FALSE,"G. PERSONAL";#N/A,#N/A,FALSE,"G. OPERACION";#N/A,#N/A,FALSE,"G. DEPYAM";#N/A,#N/A,FALSE,"INGRESOS";#N/A,#N/A,FALSE,"G.o P.1";#N/A,#N/A,FALSE,"3%Informe Junta";#N/A,#N/A,FALSE,"P Y G (2)";#N/A,#N/A,FALSE,"CART. PROV.";#N/A,#N/A,FALSE,"Usecmes";#N/A,#N/A,FALSE,"Usecacu"}</definedName>
    <definedName name="MAM" hidden="1">{#N/A,#N/A,FALSE,"VENTAS";#N/A,#N/A,FALSE,"U. BRUTA";#N/A,#N/A,FALSE,"G. PERSONAL";#N/A,#N/A,FALSE,"G. OPERACION";#N/A,#N/A,FALSE,"G. DEPYAM";#N/A,#N/A,FALSE,"INGRESOS";#N/A,#N/A,FALSE,"G.o P.1";#N/A,#N/A,FALSE,"3%Informe Junta";#N/A,#N/A,FALSE,"P Y G (2)";#N/A,#N/A,FALSE,"CART. PROV.";#N/A,#N/A,FALSE,"Usecmes";#N/A,#N/A,FALSE,"Usecacu"}</definedName>
    <definedName name="MAR" localSheetId="4" hidden="1">{#N/A,#N/A,FALSE,"VENTAS";#N/A,#N/A,FALSE,"U. BRUTA";#N/A,#N/A,FALSE,"G. PERSONAL";#N/A,#N/A,FALSE,"G. OPERACION";#N/A,#N/A,FALSE,"G. DEPYAM";#N/A,#N/A,FALSE,"INGRESOS";#N/A,#N/A,FALSE,"G.o P.1";#N/A,#N/A,FALSE,"3%Informe Junta";#N/A,#N/A,FALSE,"P Y G (2)";#N/A,#N/A,FALSE,"CART. PROV.";#N/A,#N/A,FALSE,"Usecmes";#N/A,#N/A,FALSE,"Usecacu"}</definedName>
    <definedName name="MAR" localSheetId="3" hidden="1">{#N/A,#N/A,FALSE,"VENTAS";#N/A,#N/A,FALSE,"U. BRUTA";#N/A,#N/A,FALSE,"G. PERSONAL";#N/A,#N/A,FALSE,"G. OPERACION";#N/A,#N/A,FALSE,"G. DEPYAM";#N/A,#N/A,FALSE,"INGRESOS";#N/A,#N/A,FALSE,"G.o P.1";#N/A,#N/A,FALSE,"3%Informe Junta";#N/A,#N/A,FALSE,"P Y G (2)";#N/A,#N/A,FALSE,"CART. PROV.";#N/A,#N/A,FALSE,"Usecmes";#N/A,#N/A,FALSE,"Usecacu"}</definedName>
    <definedName name="MAR" localSheetId="2" hidden="1">{#N/A,#N/A,FALSE,"VENTAS";#N/A,#N/A,FALSE,"U. BRUTA";#N/A,#N/A,FALSE,"G. PERSONAL";#N/A,#N/A,FALSE,"G. OPERACION";#N/A,#N/A,FALSE,"G. DEPYAM";#N/A,#N/A,FALSE,"INGRESOS";#N/A,#N/A,FALSE,"G.o P.1";#N/A,#N/A,FALSE,"3%Informe Junta";#N/A,#N/A,FALSE,"P Y G (2)";#N/A,#N/A,FALSE,"CART. PROV.";#N/A,#N/A,FALSE,"Usecmes";#N/A,#N/A,FALSE,"Usecacu"}</definedName>
    <definedName name="MAR" hidden="1">{#N/A,#N/A,FALSE,"VENTAS";#N/A,#N/A,FALSE,"U. BRUTA";#N/A,#N/A,FALSE,"G. PERSONAL";#N/A,#N/A,FALSE,"G. OPERACION";#N/A,#N/A,FALSE,"G. DEPYAM";#N/A,#N/A,FALSE,"INGRESOS";#N/A,#N/A,FALSE,"G.o P.1";#N/A,#N/A,FALSE,"3%Informe Junta";#N/A,#N/A,FALSE,"P Y G (2)";#N/A,#N/A,FALSE,"CART. PROV.";#N/A,#N/A,FALSE,"Usecmes";#N/A,#N/A,FALSE,"Usecacu"}</definedName>
    <definedName name="mario" localSheetId="6" hidden="1">{#N/A,#N/A,FALSE,"Aging Summary";#N/A,#N/A,FALSE,"Ratio Analysis";#N/A,#N/A,FALSE,"Test 120 Day Accts";#N/A,#N/A,FALSE,"Tickmarks"}</definedName>
    <definedName name="mario" localSheetId="1" hidden="1">{#N/A,#N/A,FALSE,"Aging Summary";#N/A,#N/A,FALSE,"Ratio Analysis";#N/A,#N/A,FALSE,"Test 120 Day Accts";#N/A,#N/A,FALSE,"Tickmarks"}</definedName>
    <definedName name="mario" localSheetId="4" hidden="1">{#N/A,#N/A,FALSE,"Aging Summary";#N/A,#N/A,FALSE,"Ratio Analysis";#N/A,#N/A,FALSE,"Test 120 Day Accts";#N/A,#N/A,FALSE,"Tickmarks"}</definedName>
    <definedName name="mario" localSheetId="0" hidden="1">{#N/A,#N/A,FALSE,"Aging Summary";#N/A,#N/A,FALSE,"Ratio Analysis";#N/A,#N/A,FALSE,"Test 120 Day Accts";#N/A,#N/A,FALSE,"Tickmarks"}</definedName>
    <definedName name="mario" localSheetId="3" hidden="1">{#N/A,#N/A,FALSE,"Aging Summary";#N/A,#N/A,FALSE,"Ratio Analysis";#N/A,#N/A,FALSE,"Test 120 Day Accts";#N/A,#N/A,FALSE,"Tickmarks"}</definedName>
    <definedName name="mario" localSheetId="2" hidden="1">{#N/A,#N/A,FALSE,"Aging Summary";#N/A,#N/A,FALSE,"Ratio Analysis";#N/A,#N/A,FALSE,"Test 120 Day Accts";#N/A,#N/A,FALSE,"Tickmarks"}</definedName>
    <definedName name="mario" localSheetId="5" hidden="1">{#N/A,#N/A,FALSE,"Aging Summary";#N/A,#N/A,FALSE,"Ratio Analysis";#N/A,#N/A,FALSE,"Test 120 Day Accts";#N/A,#N/A,FALSE,"Tickmarks"}</definedName>
    <definedName name="mario" localSheetId="7" hidden="1">{#N/A,#N/A,FALSE,"Aging Summary";#N/A,#N/A,FALSE,"Ratio Analysis";#N/A,#N/A,FALSE,"Test 120 Day Accts";#N/A,#N/A,FALSE,"Tickmarks"}</definedName>
    <definedName name="mario" hidden="1">{#N/A,#N/A,FALSE,"Aging Summary";#N/A,#N/A,FALSE,"Ratio Analysis";#N/A,#N/A,FALSE,"Test 120 Day Accts";#N/A,#N/A,FALSE,"Tickmarks"}</definedName>
    <definedName name="MarkP" localSheetId="4" hidden="1">{#N/A,#N/A,FALSE,"GRAFICO";#N/A,#N/A,FALSE,"CAJA (2)";#N/A,#N/A,FALSE,"TERCEROS-PROMEDIO";#N/A,#N/A,FALSE,"CAJA";#N/A,#N/A,FALSE,"INGRESOS1995-2003";#N/A,#N/A,FALSE,"GASTOS1995-2003"}</definedName>
    <definedName name="MarkP" localSheetId="3" hidden="1">{#N/A,#N/A,FALSE,"GRAFICO";#N/A,#N/A,FALSE,"CAJA (2)";#N/A,#N/A,FALSE,"TERCEROS-PROMEDIO";#N/A,#N/A,FALSE,"CAJA";#N/A,#N/A,FALSE,"INGRESOS1995-2003";#N/A,#N/A,FALSE,"GASTOS1995-2003"}</definedName>
    <definedName name="MarkP" localSheetId="2" hidden="1">{#N/A,#N/A,FALSE,"GRAFICO";#N/A,#N/A,FALSE,"CAJA (2)";#N/A,#N/A,FALSE,"TERCEROS-PROMEDIO";#N/A,#N/A,FALSE,"CAJA";#N/A,#N/A,FALSE,"INGRESOS1995-2003";#N/A,#N/A,FALSE,"GASTOS1995-2003"}</definedName>
    <definedName name="MarkP" hidden="1">{#N/A,#N/A,FALSE,"GRAFICO";#N/A,#N/A,FALSE,"CAJA (2)";#N/A,#N/A,FALSE,"TERCEROS-PROMEDIO";#N/A,#N/A,FALSE,"CAJA";#N/A,#N/A,FALSE,"INGRESOS1995-2003";#N/A,#N/A,FALSE,"GASTOS1995-2003"}</definedName>
    <definedName name="marmol" hidden="1">{"PYGT",#N/A,FALSE,"PYG";"ACTIT",#N/A,FALSE,"BCE_GRAL-ACTIVO";"PASIT",#N/A,FALSE,"BCE_GRAL-PASIVO-PATRIM";"CAJAT",#N/A,FALSE,"CAJA"}</definedName>
    <definedName name="marzo" localSheetId="4" hidden="1">{#N/A,#N/A,FALSE,"VENTAS";#N/A,#N/A,FALSE,"U. BRUTA";#N/A,#N/A,FALSE,"G. PERSONAL";#N/A,#N/A,FALSE,"G. OPERACION";#N/A,#N/A,FALSE,"G. DEPYAM";#N/A,#N/A,FALSE,"INGRESOS";#N/A,#N/A,FALSE,"G.o P.1";#N/A,#N/A,FALSE,"3%Informe Junta";#N/A,#N/A,FALSE,"P Y G (2)";#N/A,#N/A,FALSE,"CART. PROV.";#N/A,#N/A,FALSE,"Usecmes";#N/A,#N/A,FALSE,"Usecacu"}</definedName>
    <definedName name="marzo" localSheetId="3" hidden="1">{#N/A,#N/A,FALSE,"VENTAS";#N/A,#N/A,FALSE,"U. BRUTA";#N/A,#N/A,FALSE,"G. PERSONAL";#N/A,#N/A,FALSE,"G. OPERACION";#N/A,#N/A,FALSE,"G. DEPYAM";#N/A,#N/A,FALSE,"INGRESOS";#N/A,#N/A,FALSE,"G.o P.1";#N/A,#N/A,FALSE,"3%Informe Junta";#N/A,#N/A,FALSE,"P Y G (2)";#N/A,#N/A,FALSE,"CART. PROV.";#N/A,#N/A,FALSE,"Usecmes";#N/A,#N/A,FALSE,"Usecacu"}</definedName>
    <definedName name="marzo" localSheetId="2" hidden="1">{#N/A,#N/A,FALSE,"VENTAS";#N/A,#N/A,FALSE,"U. BRUTA";#N/A,#N/A,FALSE,"G. PERSONAL";#N/A,#N/A,FALSE,"G. OPERACION";#N/A,#N/A,FALSE,"G. DEPYAM";#N/A,#N/A,FALSE,"INGRESOS";#N/A,#N/A,FALSE,"G.o P.1";#N/A,#N/A,FALSE,"3%Informe Junta";#N/A,#N/A,FALSE,"P Y G (2)";#N/A,#N/A,FALSE,"CART. PROV.";#N/A,#N/A,FALSE,"Usecmes";#N/A,#N/A,FALSE,"Usecacu"}</definedName>
    <definedName name="marzo" hidden="1">{#N/A,#N/A,FALSE,"VENTAS";#N/A,#N/A,FALSE,"U. BRUTA";#N/A,#N/A,FALSE,"G. PERSONAL";#N/A,#N/A,FALSE,"G. OPERACION";#N/A,#N/A,FALSE,"G. DEPYAM";#N/A,#N/A,FALSE,"INGRESOS";#N/A,#N/A,FALSE,"G.o P.1";#N/A,#N/A,FALSE,"3%Informe Junta";#N/A,#N/A,FALSE,"P Y G (2)";#N/A,#N/A,FALSE,"CART. PROV.";#N/A,#N/A,FALSE,"Usecmes";#N/A,#N/A,FALSE,"Usecacu"}</definedName>
    <definedName name="Merck" hidden="1">{"'18'!$A$5:$M$18"}</definedName>
    <definedName name="mercurio" hidden="1">{#N/A,#N/A,FALSE,"Aging Summary";#N/A,#N/A,FALSE,"Ratio Analysis";#N/A,#N/A,FALSE,"Test 120 Day Accts";#N/A,#N/A,FALSE,"Tickmarks"}</definedName>
    <definedName name="MIOJAKDJKA" localSheetId="4" hidden="1">{"'S. C. B.'!$E$207"}</definedName>
    <definedName name="MIOJAKDJKA" localSheetId="3" hidden="1">{"'S. C. B.'!$E$207"}</definedName>
    <definedName name="MIOJAKDJKA" localSheetId="2" hidden="1">{"'S. C. B.'!$E$207"}</definedName>
    <definedName name="MIOJAKDJKA" hidden="1">{"'S. C. B.'!$E$207"}</definedName>
    <definedName name="mismo" hidden="1">{#N/A,#N/A,FALSE,"GRAFICO";#N/A,#N/A,FALSE,"CAJA (2)";#N/A,#N/A,FALSE,"TERCEROS-PROMEDIO";#N/A,#N/A,FALSE,"CAJA";#N/A,#N/A,FALSE,"INGRESOS1995-2003";#N/A,#N/A,FALSE,"GASTOS1995-2003"}</definedName>
    <definedName name="mm" hidden="1">{#N/A,#N/A,FALSE,"balance";#N/A,#N/A,FALSE,"PYG"}</definedName>
    <definedName name="MMA" localSheetId="4" hidden="1">{#N/A,#N/A,FALSE,"Aging Summary";#N/A,#N/A,FALSE,"Ratio Analysis";#N/A,#N/A,FALSE,"Test 120 Day Accts";#N/A,#N/A,FALSE,"Tickmarks"}</definedName>
    <definedName name="MMA" localSheetId="3" hidden="1">{#N/A,#N/A,FALSE,"Aging Summary";#N/A,#N/A,FALSE,"Ratio Analysis";#N/A,#N/A,FALSE,"Test 120 Day Accts";#N/A,#N/A,FALSE,"Tickmarks"}</definedName>
    <definedName name="MMA" localSheetId="2" hidden="1">{#N/A,#N/A,FALSE,"Aging Summary";#N/A,#N/A,FALSE,"Ratio Analysis";#N/A,#N/A,FALSE,"Test 120 Day Accts";#N/A,#N/A,FALSE,"Tickmarks"}</definedName>
    <definedName name="MMA" hidden="1">{#N/A,#N/A,FALSE,"Aging Summary";#N/A,#N/A,FALSE,"Ratio Analysis";#N/A,#N/A,FALSE,"Test 120 Day Accts";#N/A,#N/A,FALSE,"Tickmarks"}</definedName>
    <definedName name="MMMM" localSheetId="4" hidden="1">{#N/A,#N/A,FALSE,"GRAFICO";#N/A,#N/A,FALSE,"CAJA (2)";#N/A,#N/A,FALSE,"TERCEROS-PROMEDIO";#N/A,#N/A,FALSE,"CAJA";#N/A,#N/A,FALSE,"INGRESOS1995-2003";#N/A,#N/A,FALSE,"GASTOS1995-2003"}</definedName>
    <definedName name="MMMM" localSheetId="3" hidden="1">{#N/A,#N/A,FALSE,"GRAFICO";#N/A,#N/A,FALSE,"CAJA (2)";#N/A,#N/A,FALSE,"TERCEROS-PROMEDIO";#N/A,#N/A,FALSE,"CAJA";#N/A,#N/A,FALSE,"INGRESOS1995-2003";#N/A,#N/A,FALSE,"GASTOS1995-2003"}</definedName>
    <definedName name="MMMM" localSheetId="2" hidden="1">{#N/A,#N/A,FALSE,"GRAFICO";#N/A,#N/A,FALSE,"CAJA (2)";#N/A,#N/A,FALSE,"TERCEROS-PROMEDIO";#N/A,#N/A,FALSE,"CAJA";#N/A,#N/A,FALSE,"INGRESOS1995-2003";#N/A,#N/A,FALSE,"GASTOS1995-2003"}</definedName>
    <definedName name="MMMM" hidden="1">{#N/A,#N/A,FALSE,"GRAFICO";#N/A,#N/A,FALSE,"CAJA (2)";#N/A,#N/A,FALSE,"TERCEROS-PROMEDIO";#N/A,#N/A,FALSE,"CAJA";#N/A,#N/A,FALSE,"INGRESOS1995-2003";#N/A,#N/A,FALSE,"GASTOS1995-2003"}</definedName>
    <definedName name="MMMMM" localSheetId="4" hidden="1">{"PYGT",#N/A,FALSE,"PYG";"ACTIT",#N/A,FALSE,"BCE_GRAL-ACTIVO";"PASIT",#N/A,FALSE,"BCE_GRAL-PASIVO-PATRIM";"CAJAT",#N/A,FALSE,"CAJA"}</definedName>
    <definedName name="MMMMM" localSheetId="3" hidden="1">{"PYGT",#N/A,FALSE,"PYG";"ACTIT",#N/A,FALSE,"BCE_GRAL-ACTIVO";"PASIT",#N/A,FALSE,"BCE_GRAL-PASIVO-PATRIM";"CAJAT",#N/A,FALSE,"CAJA"}</definedName>
    <definedName name="MMMMM" localSheetId="2" hidden="1">{"PYGT",#N/A,FALSE,"PYG";"ACTIT",#N/A,FALSE,"BCE_GRAL-ACTIVO";"PASIT",#N/A,FALSE,"BCE_GRAL-PASIVO-PATRIM";"CAJAT",#N/A,FALSE,"CAJA"}</definedName>
    <definedName name="MMMMM" hidden="1">{"PYGT",#N/A,FALSE,"PYG";"ACTIT",#N/A,FALSE,"BCE_GRAL-ACTIVO";"PASIT",#N/A,FALSE,"BCE_GRAL-PASIVO-PATRIM";"CAJAT",#N/A,FALSE,"CAJA"}</definedName>
    <definedName name="mmmmmmmmmm" localSheetId="4" hidden="1">{"PYGT",#N/A,FALSE,"PYG";"ACTIT",#N/A,FALSE,"BCE_GRAL-ACTIVO";"PASIT",#N/A,FALSE,"BCE_GRAL-PASIVO-PATRIM";"CAJAT",#N/A,FALSE,"CAJA"}</definedName>
    <definedName name="mmmmmmmmmm" localSheetId="3" hidden="1">{"PYGT",#N/A,FALSE,"PYG";"ACTIT",#N/A,FALSE,"BCE_GRAL-ACTIVO";"PASIT",#N/A,FALSE,"BCE_GRAL-PASIVO-PATRIM";"CAJAT",#N/A,FALSE,"CAJA"}</definedName>
    <definedName name="mmmmmmmmmm" localSheetId="2" hidden="1">{"PYGT",#N/A,FALSE,"PYG";"ACTIT",#N/A,FALSE,"BCE_GRAL-ACTIVO";"PASIT",#N/A,FALSE,"BCE_GRAL-PASIVO-PATRIM";"CAJAT",#N/A,FALSE,"CAJA"}</definedName>
    <definedName name="mmmmmmmmmm" hidden="1">{"PYGT",#N/A,FALSE,"PYG";"ACTIT",#N/A,FALSE,"BCE_GRAL-ACTIVO";"PASIT",#N/A,FALSE,"BCE_GRAL-PASIVO-PATRIM";"CAJAT",#N/A,FALSE,"CAJA"}</definedName>
    <definedName name="mmmmmmmmmmmmm" localSheetId="4" hidden="1">{#N/A,#N/A,FALSE,"GRAFICO";#N/A,#N/A,FALSE,"CAJA (2)";#N/A,#N/A,FALSE,"TERCEROS-PROMEDIO";#N/A,#N/A,FALSE,"CAJA";#N/A,#N/A,FALSE,"INGRESOS1995-2003";#N/A,#N/A,FALSE,"GASTOS1995-2003"}</definedName>
    <definedName name="mmmmmmmmmmmmm" localSheetId="3" hidden="1">{#N/A,#N/A,FALSE,"GRAFICO";#N/A,#N/A,FALSE,"CAJA (2)";#N/A,#N/A,FALSE,"TERCEROS-PROMEDIO";#N/A,#N/A,FALSE,"CAJA";#N/A,#N/A,FALSE,"INGRESOS1995-2003";#N/A,#N/A,FALSE,"GASTOS1995-2003"}</definedName>
    <definedName name="mmmmmmmmmmmmm" localSheetId="2" hidden="1">{#N/A,#N/A,FALSE,"GRAFICO";#N/A,#N/A,FALSE,"CAJA (2)";#N/A,#N/A,FALSE,"TERCEROS-PROMEDIO";#N/A,#N/A,FALSE,"CAJA";#N/A,#N/A,FALSE,"INGRESOS1995-2003";#N/A,#N/A,FALSE,"GASTOS1995-2003"}</definedName>
    <definedName name="mmmmmmmmmmmmm" hidden="1">{#N/A,#N/A,FALSE,"GRAFICO";#N/A,#N/A,FALSE,"CAJA (2)";#N/A,#N/A,FALSE,"TERCEROS-PROMEDIO";#N/A,#N/A,FALSE,"CAJA";#N/A,#N/A,FALSE,"INGRESOS1995-2003";#N/A,#N/A,FALSE,"GASTOS1995-2003"}</definedName>
    <definedName name="mmzjs" localSheetId="4" hidden="1">{#N/A,#N/A,TRUE,"TAPA ";"INDICE_CLP",#N/A,TRUE,"Indice";#N/A,#N/A,TRUE,"Cond";#N/A,#N/A,TRUE,"Bce_hold";#N/A,#N/A,TRUE,"eerr_hold";#N/A,#N/A,TRUE,"eerr_prod";#N/A,#N/A,TRUE,"eerr_tipogtos";#N/A,#N/A,TRUE,"Flujo";#N/A,#N/A,TRUE,"Var_Ebit";#N/A,#N/A,TRUE,"Noa";#N/A,#N/A,TRUE,"Var_Noa"}</definedName>
    <definedName name="mmzjs" localSheetId="3" hidden="1">{#N/A,#N/A,TRUE,"TAPA ";"INDICE_CLP",#N/A,TRUE,"Indice";#N/A,#N/A,TRUE,"Cond";#N/A,#N/A,TRUE,"Bce_hold";#N/A,#N/A,TRUE,"eerr_hold";#N/A,#N/A,TRUE,"eerr_prod";#N/A,#N/A,TRUE,"eerr_tipogtos";#N/A,#N/A,TRUE,"Flujo";#N/A,#N/A,TRUE,"Var_Ebit";#N/A,#N/A,TRUE,"Noa";#N/A,#N/A,TRUE,"Var_Noa"}</definedName>
    <definedName name="mmzjs" localSheetId="2" hidden="1">{#N/A,#N/A,TRUE,"TAPA ";"INDICE_CLP",#N/A,TRUE,"Indice";#N/A,#N/A,TRUE,"Cond";#N/A,#N/A,TRUE,"Bce_hold";#N/A,#N/A,TRUE,"eerr_hold";#N/A,#N/A,TRUE,"eerr_prod";#N/A,#N/A,TRUE,"eerr_tipogtos";#N/A,#N/A,TRUE,"Flujo";#N/A,#N/A,TRUE,"Var_Ebit";#N/A,#N/A,TRUE,"Noa";#N/A,#N/A,TRUE,"Var_Noa"}</definedName>
    <definedName name="mmzjs" hidden="1">{#N/A,#N/A,TRUE,"TAPA ";"INDICE_CLP",#N/A,TRUE,"Indice";#N/A,#N/A,TRUE,"Cond";#N/A,#N/A,TRUE,"Bce_hold";#N/A,#N/A,TRUE,"eerr_hold";#N/A,#N/A,TRUE,"eerr_prod";#N/A,#N/A,TRUE,"eerr_tipogtos";#N/A,#N/A,TRUE,"Flujo";#N/A,#N/A,TRUE,"Var_Ebit";#N/A,#N/A,TRUE,"Noa";#N/A,#N/A,TRUE,"Var_Noa"}</definedName>
    <definedName name="MN" localSheetId="4" hidden="1">{#N/A,#N/A,FALSE,"Aging Summary";#N/A,#N/A,FALSE,"Ratio Analysis";#N/A,#N/A,FALSE,"Test 120 Day Accts";#N/A,#N/A,FALSE,"Tickmarks"}</definedName>
    <definedName name="MN" localSheetId="3" hidden="1">{#N/A,#N/A,FALSE,"Aging Summary";#N/A,#N/A,FALSE,"Ratio Analysis";#N/A,#N/A,FALSE,"Test 120 Day Accts";#N/A,#N/A,FALSE,"Tickmarks"}</definedName>
    <definedName name="MN" localSheetId="2" hidden="1">{#N/A,#N/A,FALSE,"Aging Summary";#N/A,#N/A,FALSE,"Ratio Analysis";#N/A,#N/A,FALSE,"Test 120 Day Accts";#N/A,#N/A,FALSE,"Tickmarks"}</definedName>
    <definedName name="MN" hidden="1">{#N/A,#N/A,FALSE,"Aging Summary";#N/A,#N/A,FALSE,"Ratio Analysis";#N/A,#N/A,FALSE,"Test 120 Day Accts";#N/A,#N/A,FALSE,"Tickmarks"}</definedName>
    <definedName name="morado" hidden="1">{#N/A,#N/A,FALSE,"Aging Summary";#N/A,#N/A,FALSE,"Ratio Analysis";#N/A,#N/A,FALSE,"Test 120 Day Accts";#N/A,#N/A,FALSE,"Tickmarks"}</definedName>
    <definedName name="N" hidden="1">23</definedName>
    <definedName name="nada" localSheetId="4" hidden="1">{#N/A,#N/A,TRUE,"Cond";#N/A,#N/A,TRUE,"Bce_hold";#N/A,#N/A,TRUE,"eerr_hold";#N/A,#N/A,TRUE,"eerr_prod";#N/A,#N/A,TRUE,"eerr_tipogtos";#N/A,#N/A,TRUE,"Flujo";#N/A,#N/A,TRUE,"Var_Ebit";#N/A,#N/A,TRUE,"Noa";#N/A,#N/A,TRUE,"Var_Noa"}</definedName>
    <definedName name="nada" localSheetId="3" hidden="1">{#N/A,#N/A,TRUE,"Cond";#N/A,#N/A,TRUE,"Bce_hold";#N/A,#N/A,TRUE,"eerr_hold";#N/A,#N/A,TRUE,"eerr_prod";#N/A,#N/A,TRUE,"eerr_tipogtos";#N/A,#N/A,TRUE,"Flujo";#N/A,#N/A,TRUE,"Var_Ebit";#N/A,#N/A,TRUE,"Noa";#N/A,#N/A,TRUE,"Var_Noa"}</definedName>
    <definedName name="nada" localSheetId="2" hidden="1">{#N/A,#N/A,TRUE,"Cond";#N/A,#N/A,TRUE,"Bce_hold";#N/A,#N/A,TRUE,"eerr_hold";#N/A,#N/A,TRUE,"eerr_prod";#N/A,#N/A,TRUE,"eerr_tipogtos";#N/A,#N/A,TRUE,"Flujo";#N/A,#N/A,TRUE,"Var_Ebit";#N/A,#N/A,TRUE,"Noa";#N/A,#N/A,TRUE,"Var_Noa"}</definedName>
    <definedName name="nada" hidden="1">{#N/A,#N/A,TRUE,"Cond";#N/A,#N/A,TRUE,"Bce_hold";#N/A,#N/A,TRUE,"eerr_hold";#N/A,#N/A,TRUE,"eerr_prod";#N/A,#N/A,TRUE,"eerr_tipogtos";#N/A,#N/A,TRUE,"Flujo";#N/A,#N/A,TRUE,"Var_Ebit";#N/A,#N/A,TRUE,"Noa";#N/A,#N/A,TRUE,"Var_Noa"}</definedName>
    <definedName name="nada1" localSheetId="4" hidden="1">{"INDICE_USD",#N/A,FALSE,"Indice";#N/A,#N/A,FALSE,"Condusd";#N/A,#N/A,FALSE,"Bce_holdusd";#N/A,#N/A,FALSE,"eerr_holdusd";#N/A,#N/A,FALSE,"eerr_produsd";#N/A,#N/A,FALSE,"eerr_tipogtosusd";#N/A,#N/A,FALSE,"Flujousd";#N/A,#N/A,FALSE,"Var_Ebitusd";#N/A,#N/A,FALSE,"Noausd";#N/A,#N/A,FALSE,"Var_Noausd"}</definedName>
    <definedName name="nada1" localSheetId="3" hidden="1">{"INDICE_USD",#N/A,FALSE,"Indice";#N/A,#N/A,FALSE,"Condusd";#N/A,#N/A,FALSE,"Bce_holdusd";#N/A,#N/A,FALSE,"eerr_holdusd";#N/A,#N/A,FALSE,"eerr_produsd";#N/A,#N/A,FALSE,"eerr_tipogtosusd";#N/A,#N/A,FALSE,"Flujousd";#N/A,#N/A,FALSE,"Var_Ebitusd";#N/A,#N/A,FALSE,"Noausd";#N/A,#N/A,FALSE,"Var_Noausd"}</definedName>
    <definedName name="nada1" localSheetId="2" hidden="1">{"INDICE_USD",#N/A,FALSE,"Indice";#N/A,#N/A,FALSE,"Condusd";#N/A,#N/A,FALSE,"Bce_holdusd";#N/A,#N/A,FALSE,"eerr_holdusd";#N/A,#N/A,FALSE,"eerr_produsd";#N/A,#N/A,FALSE,"eerr_tipogtosusd";#N/A,#N/A,FALSE,"Flujousd";#N/A,#N/A,FALSE,"Var_Ebitusd";#N/A,#N/A,FALSE,"Noausd";#N/A,#N/A,FALSE,"Var_Noausd"}</definedName>
    <definedName name="nada1" hidden="1">{"INDICE_USD",#N/A,FALSE,"Indice";#N/A,#N/A,FALSE,"Condusd";#N/A,#N/A,FALSE,"Bce_holdusd";#N/A,#N/A,FALSE,"eerr_holdusd";#N/A,#N/A,FALSE,"eerr_produsd";#N/A,#N/A,FALSE,"eerr_tipogtosusd";#N/A,#N/A,FALSE,"Flujousd";#N/A,#N/A,FALSE,"Var_Ebitusd";#N/A,#N/A,FALSE,"Noausd";#N/A,#N/A,FALSE,"Var_Noausd"}</definedName>
    <definedName name="nada101" localSheetId="4" hidden="1">{#N/A,#N/A,TRUE,"Cond";#N/A,#N/A,TRUE,"Bce_hold";#N/A,#N/A,TRUE,"eerr_hold";#N/A,#N/A,TRUE,"eerr_prod";#N/A,#N/A,TRUE,"eerr_tipogtos";#N/A,#N/A,TRUE,"Flujo";#N/A,#N/A,TRUE,"Var_Ebit";#N/A,#N/A,TRUE,"Noa";#N/A,#N/A,TRUE,"Var_Noa"}</definedName>
    <definedName name="nada101" localSheetId="3" hidden="1">{#N/A,#N/A,TRUE,"Cond";#N/A,#N/A,TRUE,"Bce_hold";#N/A,#N/A,TRUE,"eerr_hold";#N/A,#N/A,TRUE,"eerr_prod";#N/A,#N/A,TRUE,"eerr_tipogtos";#N/A,#N/A,TRUE,"Flujo";#N/A,#N/A,TRUE,"Var_Ebit";#N/A,#N/A,TRUE,"Noa";#N/A,#N/A,TRUE,"Var_Noa"}</definedName>
    <definedName name="nada101" localSheetId="2" hidden="1">{#N/A,#N/A,TRUE,"Cond";#N/A,#N/A,TRUE,"Bce_hold";#N/A,#N/A,TRUE,"eerr_hold";#N/A,#N/A,TRUE,"eerr_prod";#N/A,#N/A,TRUE,"eerr_tipogtos";#N/A,#N/A,TRUE,"Flujo";#N/A,#N/A,TRUE,"Var_Ebit";#N/A,#N/A,TRUE,"Noa";#N/A,#N/A,TRUE,"Var_Noa"}</definedName>
    <definedName name="nada101" hidden="1">{#N/A,#N/A,TRUE,"Cond";#N/A,#N/A,TRUE,"Bce_hold";#N/A,#N/A,TRUE,"eerr_hold";#N/A,#N/A,TRUE,"eerr_prod";#N/A,#N/A,TRUE,"eerr_tipogtos";#N/A,#N/A,TRUE,"Flujo";#N/A,#N/A,TRUE,"Var_Ebit";#N/A,#N/A,TRUE,"Noa";#N/A,#N/A,TRUE,"Var_Noa"}</definedName>
    <definedName name="nada2" localSheetId="4" hidden="1">{"INDICE_USD",#N/A,FALSE,"Indice";#N/A,#N/A,FALSE,"Condusd";#N/A,#N/A,FALSE,"Bce_holdusd";#N/A,#N/A,FALSE,"eerr_holdusd";#N/A,#N/A,FALSE,"eerr_produsd";#N/A,#N/A,FALSE,"eerr_tipogtosusd";#N/A,#N/A,FALSE,"Flujousd";#N/A,#N/A,FALSE,"Var_Ebitusd";#N/A,#N/A,FALSE,"Noausd";#N/A,#N/A,FALSE,"Var_Noausd"}</definedName>
    <definedName name="nada2" localSheetId="3" hidden="1">{"INDICE_USD",#N/A,FALSE,"Indice";#N/A,#N/A,FALSE,"Condusd";#N/A,#N/A,FALSE,"Bce_holdusd";#N/A,#N/A,FALSE,"eerr_holdusd";#N/A,#N/A,FALSE,"eerr_produsd";#N/A,#N/A,FALSE,"eerr_tipogtosusd";#N/A,#N/A,FALSE,"Flujousd";#N/A,#N/A,FALSE,"Var_Ebitusd";#N/A,#N/A,FALSE,"Noausd";#N/A,#N/A,FALSE,"Var_Noausd"}</definedName>
    <definedName name="nada2" localSheetId="2" hidden="1">{"INDICE_USD",#N/A,FALSE,"Indice";#N/A,#N/A,FALSE,"Condusd";#N/A,#N/A,FALSE,"Bce_holdusd";#N/A,#N/A,FALSE,"eerr_holdusd";#N/A,#N/A,FALSE,"eerr_produsd";#N/A,#N/A,FALSE,"eerr_tipogtosusd";#N/A,#N/A,FALSE,"Flujousd";#N/A,#N/A,FALSE,"Var_Ebitusd";#N/A,#N/A,FALSE,"Noausd";#N/A,#N/A,FALSE,"Var_Noausd"}</definedName>
    <definedName name="nada2" hidden="1">{"INDICE_USD",#N/A,FALSE,"Indice";#N/A,#N/A,FALSE,"Condusd";#N/A,#N/A,FALSE,"Bce_holdusd";#N/A,#N/A,FALSE,"eerr_holdusd";#N/A,#N/A,FALSE,"eerr_produsd";#N/A,#N/A,FALSE,"eerr_tipogtosusd";#N/A,#N/A,FALSE,"Flujousd";#N/A,#N/A,FALSE,"Var_Ebitusd";#N/A,#N/A,FALSE,"Noausd";#N/A,#N/A,FALSE,"Var_Noausd"}</definedName>
    <definedName name="nada223" localSheetId="4" hidden="1">{"INDICE_USD",#N/A,FALSE,"Indice";#N/A,#N/A,FALSE,"Condusd";#N/A,#N/A,FALSE,"Bce_holdusd";#N/A,#N/A,FALSE,"eerr_holdusd";#N/A,#N/A,FALSE,"eerr_produsd";#N/A,#N/A,FALSE,"eerr_tipogtosusd";#N/A,#N/A,FALSE,"Flujousd";#N/A,#N/A,FALSE,"Var_Ebitusd";#N/A,#N/A,FALSE,"Noausd";#N/A,#N/A,FALSE,"Var_Noausd"}</definedName>
    <definedName name="nada223" localSheetId="3" hidden="1">{"INDICE_USD",#N/A,FALSE,"Indice";#N/A,#N/A,FALSE,"Condusd";#N/A,#N/A,FALSE,"Bce_holdusd";#N/A,#N/A,FALSE,"eerr_holdusd";#N/A,#N/A,FALSE,"eerr_produsd";#N/A,#N/A,FALSE,"eerr_tipogtosusd";#N/A,#N/A,FALSE,"Flujousd";#N/A,#N/A,FALSE,"Var_Ebitusd";#N/A,#N/A,FALSE,"Noausd";#N/A,#N/A,FALSE,"Var_Noausd"}</definedName>
    <definedName name="nada223" localSheetId="2" hidden="1">{"INDICE_USD",#N/A,FALSE,"Indice";#N/A,#N/A,FALSE,"Condusd";#N/A,#N/A,FALSE,"Bce_holdusd";#N/A,#N/A,FALSE,"eerr_holdusd";#N/A,#N/A,FALSE,"eerr_produsd";#N/A,#N/A,FALSE,"eerr_tipogtosusd";#N/A,#N/A,FALSE,"Flujousd";#N/A,#N/A,FALSE,"Var_Ebitusd";#N/A,#N/A,FALSE,"Noausd";#N/A,#N/A,FALSE,"Var_Noausd"}</definedName>
    <definedName name="nada223" hidden="1">{"INDICE_USD",#N/A,FALSE,"Indice";#N/A,#N/A,FALSE,"Condusd";#N/A,#N/A,FALSE,"Bce_holdusd";#N/A,#N/A,FALSE,"eerr_holdusd";#N/A,#N/A,FALSE,"eerr_produsd";#N/A,#N/A,FALSE,"eerr_tipogtosusd";#N/A,#N/A,FALSE,"Flujousd";#N/A,#N/A,FALSE,"Var_Ebitusd";#N/A,#N/A,FALSE,"Noausd";#N/A,#N/A,FALSE,"Var_Noausd"}</definedName>
    <definedName name="nada3" localSheetId="4" hidden="1">{#N/A,#N/A,TRUE,"Cond";#N/A,#N/A,TRUE,"Bce_hold";#N/A,#N/A,TRUE,"eerr_hold";#N/A,#N/A,TRUE,"eerr_prod";#N/A,#N/A,TRUE,"eerr_tipogtos";#N/A,#N/A,TRUE,"Flujo";#N/A,#N/A,TRUE,"Var_Ebit";#N/A,#N/A,TRUE,"Noa";#N/A,#N/A,TRUE,"Var_Noa"}</definedName>
    <definedName name="nada3" localSheetId="3" hidden="1">{#N/A,#N/A,TRUE,"Cond";#N/A,#N/A,TRUE,"Bce_hold";#N/A,#N/A,TRUE,"eerr_hold";#N/A,#N/A,TRUE,"eerr_prod";#N/A,#N/A,TRUE,"eerr_tipogtos";#N/A,#N/A,TRUE,"Flujo";#N/A,#N/A,TRUE,"Var_Ebit";#N/A,#N/A,TRUE,"Noa";#N/A,#N/A,TRUE,"Var_Noa"}</definedName>
    <definedName name="nada3" localSheetId="2" hidden="1">{#N/A,#N/A,TRUE,"Cond";#N/A,#N/A,TRUE,"Bce_hold";#N/A,#N/A,TRUE,"eerr_hold";#N/A,#N/A,TRUE,"eerr_prod";#N/A,#N/A,TRUE,"eerr_tipogtos";#N/A,#N/A,TRUE,"Flujo";#N/A,#N/A,TRUE,"Var_Ebit";#N/A,#N/A,TRUE,"Noa";#N/A,#N/A,TRUE,"Var_Noa"}</definedName>
    <definedName name="nada3" hidden="1">{#N/A,#N/A,TRUE,"Cond";#N/A,#N/A,TRUE,"Bce_hold";#N/A,#N/A,TRUE,"eerr_hold";#N/A,#N/A,TRUE,"eerr_prod";#N/A,#N/A,TRUE,"eerr_tipogtos";#N/A,#N/A,TRUE,"Flujo";#N/A,#N/A,TRUE,"Var_Ebit";#N/A,#N/A,TRUE,"Noa";#N/A,#N/A,TRUE,"Var_Noa"}</definedName>
    <definedName name="nada32" localSheetId="4" hidden="1">{#N/A,#N/A,TRUE,"Cond";#N/A,#N/A,TRUE,"Bce_hold";#N/A,#N/A,TRUE,"eerr_hold";#N/A,#N/A,TRUE,"eerr_prod";#N/A,#N/A,TRUE,"eerr_tipogtos";#N/A,#N/A,TRUE,"Flujo";#N/A,#N/A,TRUE,"Var_Ebit";#N/A,#N/A,TRUE,"Noa";#N/A,#N/A,TRUE,"Var_Noa"}</definedName>
    <definedName name="nada32" localSheetId="3" hidden="1">{#N/A,#N/A,TRUE,"Cond";#N/A,#N/A,TRUE,"Bce_hold";#N/A,#N/A,TRUE,"eerr_hold";#N/A,#N/A,TRUE,"eerr_prod";#N/A,#N/A,TRUE,"eerr_tipogtos";#N/A,#N/A,TRUE,"Flujo";#N/A,#N/A,TRUE,"Var_Ebit";#N/A,#N/A,TRUE,"Noa";#N/A,#N/A,TRUE,"Var_Noa"}</definedName>
    <definedName name="nada32" localSheetId="2" hidden="1">{#N/A,#N/A,TRUE,"Cond";#N/A,#N/A,TRUE,"Bce_hold";#N/A,#N/A,TRUE,"eerr_hold";#N/A,#N/A,TRUE,"eerr_prod";#N/A,#N/A,TRUE,"eerr_tipogtos";#N/A,#N/A,TRUE,"Flujo";#N/A,#N/A,TRUE,"Var_Ebit";#N/A,#N/A,TRUE,"Noa";#N/A,#N/A,TRUE,"Var_Noa"}</definedName>
    <definedName name="nada32" hidden="1">{#N/A,#N/A,TRUE,"Cond";#N/A,#N/A,TRUE,"Bce_hold";#N/A,#N/A,TRUE,"eerr_hold";#N/A,#N/A,TRUE,"eerr_prod";#N/A,#N/A,TRUE,"eerr_tipogtos";#N/A,#N/A,TRUE,"Flujo";#N/A,#N/A,TRUE,"Var_Ebit";#N/A,#N/A,TRUE,"Noa";#N/A,#N/A,TRUE,"Var_Noa"}</definedName>
    <definedName name="nada33" localSheetId="4" hidden="1">{#N/A,#N/A,TRUE,"Cond";#N/A,#N/A,TRUE,"Bce_hold";#N/A,#N/A,TRUE,"eerr_hold";#N/A,#N/A,TRUE,"eerr_prod";#N/A,#N/A,TRUE,"eerr_tipogtos";#N/A,#N/A,TRUE,"Flujo";#N/A,#N/A,TRUE,"Var_Ebit";#N/A,#N/A,TRUE,"Noa";#N/A,#N/A,TRUE,"Var_Noa"}</definedName>
    <definedName name="nada33" localSheetId="3" hidden="1">{#N/A,#N/A,TRUE,"Cond";#N/A,#N/A,TRUE,"Bce_hold";#N/A,#N/A,TRUE,"eerr_hold";#N/A,#N/A,TRUE,"eerr_prod";#N/A,#N/A,TRUE,"eerr_tipogtos";#N/A,#N/A,TRUE,"Flujo";#N/A,#N/A,TRUE,"Var_Ebit";#N/A,#N/A,TRUE,"Noa";#N/A,#N/A,TRUE,"Var_Noa"}</definedName>
    <definedName name="nada33" localSheetId="2" hidden="1">{#N/A,#N/A,TRUE,"Cond";#N/A,#N/A,TRUE,"Bce_hold";#N/A,#N/A,TRUE,"eerr_hold";#N/A,#N/A,TRUE,"eerr_prod";#N/A,#N/A,TRUE,"eerr_tipogtos";#N/A,#N/A,TRUE,"Flujo";#N/A,#N/A,TRUE,"Var_Ebit";#N/A,#N/A,TRUE,"Noa";#N/A,#N/A,TRUE,"Var_Noa"}</definedName>
    <definedName name="nada33" hidden="1">{#N/A,#N/A,TRUE,"Cond";#N/A,#N/A,TRUE,"Bce_hold";#N/A,#N/A,TRUE,"eerr_hold";#N/A,#N/A,TRUE,"eerr_prod";#N/A,#N/A,TRUE,"eerr_tipogtos";#N/A,#N/A,TRUE,"Flujo";#N/A,#N/A,TRUE,"Var_Ebit";#N/A,#N/A,TRUE,"Noa";#N/A,#N/A,TRUE,"Var_Noa"}</definedName>
    <definedName name="nada4" localSheetId="4" hidden="1">{#N/A,#N/A,TRUE,"TAPA ";"INDICE_CLP",#N/A,TRUE,"Indice";#N/A,#N/A,TRUE,"Cond";#N/A,#N/A,TRUE,"Bce_hold";#N/A,#N/A,TRUE,"eerr_hold";#N/A,#N/A,TRUE,"eerr_prod";#N/A,#N/A,TRUE,"eerr_tipogtos";#N/A,#N/A,TRUE,"Flujo";#N/A,#N/A,TRUE,"Var_Ebit";#N/A,#N/A,TRUE,"Noa";#N/A,#N/A,TRUE,"Var_Noa"}</definedName>
    <definedName name="nada4" localSheetId="3" hidden="1">{#N/A,#N/A,TRUE,"TAPA ";"INDICE_CLP",#N/A,TRUE,"Indice";#N/A,#N/A,TRUE,"Cond";#N/A,#N/A,TRUE,"Bce_hold";#N/A,#N/A,TRUE,"eerr_hold";#N/A,#N/A,TRUE,"eerr_prod";#N/A,#N/A,TRUE,"eerr_tipogtos";#N/A,#N/A,TRUE,"Flujo";#N/A,#N/A,TRUE,"Var_Ebit";#N/A,#N/A,TRUE,"Noa";#N/A,#N/A,TRUE,"Var_Noa"}</definedName>
    <definedName name="nada4" localSheetId="2" hidden="1">{#N/A,#N/A,TRUE,"TAPA ";"INDICE_CLP",#N/A,TRUE,"Indice";#N/A,#N/A,TRUE,"Cond";#N/A,#N/A,TRUE,"Bce_hold";#N/A,#N/A,TRUE,"eerr_hold";#N/A,#N/A,TRUE,"eerr_prod";#N/A,#N/A,TRUE,"eerr_tipogtos";#N/A,#N/A,TRUE,"Flujo";#N/A,#N/A,TRUE,"Var_Ebit";#N/A,#N/A,TRUE,"Noa";#N/A,#N/A,TRUE,"Var_Noa"}</definedName>
    <definedName name="nada4" hidden="1">{#N/A,#N/A,TRUE,"TAPA ";"INDICE_CLP",#N/A,TRUE,"Indice";#N/A,#N/A,TRUE,"Cond";#N/A,#N/A,TRUE,"Bce_hold";#N/A,#N/A,TRUE,"eerr_hold";#N/A,#N/A,TRUE,"eerr_prod";#N/A,#N/A,TRUE,"eerr_tipogtos";#N/A,#N/A,TRUE,"Flujo";#N/A,#N/A,TRUE,"Var_Ebit";#N/A,#N/A,TRUE,"Noa";#N/A,#N/A,TRUE,"Var_Noa"}</definedName>
    <definedName name="nada6" localSheetId="4" hidden="1">{"INDICE_USD",#N/A,FALSE,"Indice";#N/A,#N/A,FALSE,"Condusd";#N/A,#N/A,FALSE,"Bce_holdusd";#N/A,#N/A,FALSE,"eerr_holdusd";#N/A,#N/A,FALSE,"eerr_produsd";#N/A,#N/A,FALSE,"eerr_tipogtosusd";#N/A,#N/A,FALSE,"Flujousd";#N/A,#N/A,FALSE,"Var_Ebitusd";#N/A,#N/A,FALSE,"Noausd";#N/A,#N/A,FALSE,"Var_Noausd"}</definedName>
    <definedName name="nada6" localSheetId="3" hidden="1">{"INDICE_USD",#N/A,FALSE,"Indice";#N/A,#N/A,FALSE,"Condusd";#N/A,#N/A,FALSE,"Bce_holdusd";#N/A,#N/A,FALSE,"eerr_holdusd";#N/A,#N/A,FALSE,"eerr_produsd";#N/A,#N/A,FALSE,"eerr_tipogtosusd";#N/A,#N/A,FALSE,"Flujousd";#N/A,#N/A,FALSE,"Var_Ebitusd";#N/A,#N/A,FALSE,"Noausd";#N/A,#N/A,FALSE,"Var_Noausd"}</definedName>
    <definedName name="nada6" localSheetId="2" hidden="1">{"INDICE_USD",#N/A,FALSE,"Indice";#N/A,#N/A,FALSE,"Condusd";#N/A,#N/A,FALSE,"Bce_holdusd";#N/A,#N/A,FALSE,"eerr_holdusd";#N/A,#N/A,FALSE,"eerr_produsd";#N/A,#N/A,FALSE,"eerr_tipogtosusd";#N/A,#N/A,FALSE,"Flujousd";#N/A,#N/A,FALSE,"Var_Ebitusd";#N/A,#N/A,FALSE,"Noausd";#N/A,#N/A,FALSE,"Var_Noausd"}</definedName>
    <definedName name="nada6" hidden="1">{"INDICE_USD",#N/A,FALSE,"Indice";#N/A,#N/A,FALSE,"Condusd";#N/A,#N/A,FALSE,"Bce_holdusd";#N/A,#N/A,FALSE,"eerr_holdusd";#N/A,#N/A,FALSE,"eerr_produsd";#N/A,#N/A,FALSE,"eerr_tipogtosusd";#N/A,#N/A,FALSE,"Flujousd";#N/A,#N/A,FALSE,"Var_Ebitusd";#N/A,#N/A,FALSE,"Noausd";#N/A,#N/A,FALSE,"Var_Noausd"}</definedName>
    <definedName name="nada99" localSheetId="4" hidden="1">{#N/A,#N/A,TRUE,"Cond";#N/A,#N/A,TRUE,"Bce_hold";#N/A,#N/A,TRUE,"eerr_hold";#N/A,#N/A,TRUE,"eerr_prod";#N/A,#N/A,TRUE,"eerr_tipogtos";#N/A,#N/A,TRUE,"Flujo";#N/A,#N/A,TRUE,"Var_Ebit";#N/A,#N/A,TRUE,"Noa";#N/A,#N/A,TRUE,"Var_Noa"}</definedName>
    <definedName name="nada99" localSheetId="3" hidden="1">{#N/A,#N/A,TRUE,"Cond";#N/A,#N/A,TRUE,"Bce_hold";#N/A,#N/A,TRUE,"eerr_hold";#N/A,#N/A,TRUE,"eerr_prod";#N/A,#N/A,TRUE,"eerr_tipogtos";#N/A,#N/A,TRUE,"Flujo";#N/A,#N/A,TRUE,"Var_Ebit";#N/A,#N/A,TRUE,"Noa";#N/A,#N/A,TRUE,"Var_Noa"}</definedName>
    <definedName name="nada99" localSheetId="2" hidden="1">{#N/A,#N/A,TRUE,"Cond";#N/A,#N/A,TRUE,"Bce_hold";#N/A,#N/A,TRUE,"eerr_hold";#N/A,#N/A,TRUE,"eerr_prod";#N/A,#N/A,TRUE,"eerr_tipogtos";#N/A,#N/A,TRUE,"Flujo";#N/A,#N/A,TRUE,"Var_Ebit";#N/A,#N/A,TRUE,"Noa";#N/A,#N/A,TRUE,"Var_Noa"}</definedName>
    <definedName name="nada99" hidden="1">{#N/A,#N/A,TRUE,"Cond";#N/A,#N/A,TRUE,"Bce_hold";#N/A,#N/A,TRUE,"eerr_hold";#N/A,#N/A,TRUE,"eerr_prod";#N/A,#N/A,TRUE,"eerr_tipogtos";#N/A,#N/A,TRUE,"Flujo";#N/A,#N/A,TRUE,"Var_Ebit";#N/A,#N/A,TRUE,"Noa";#N/A,#N/A,TRUE,"Var_Noa"}</definedName>
    <definedName name="NARJ" hidden="1">{#N/A,#N/A,FALSE,"Aging Summary";#N/A,#N/A,FALSE,"Ratio Analysis";#N/A,#N/A,FALSE,"Test 120 Day Accts";#N/A,#N/A,FALSE,"Tickmarks"}</definedName>
    <definedName name="new" hidden="1">{"EVA",#N/A,FALSE,"SMT2";#N/A,#N/A,FALSE,"Summary";#N/A,#N/A,FALSE,"Graphs";#N/A,#N/A,FALSE,"4 Panel"}</definedName>
    <definedName name="ni" hidden="1">{#N/A,#N/A,FALSE,"GRAFICO";#N/A,#N/A,FALSE,"CAJA (2)";#N/A,#N/A,FALSE,"TERCEROS-PROMEDIO";#N/A,#N/A,FALSE,"CAJA";#N/A,#N/A,FALSE,"INGRESOS1995-2003";#N/A,#N/A,FALSE,"GASTOS1995-2003"}</definedName>
    <definedName name="NNN" localSheetId="4" hidden="1">{"PYGS",#N/A,FALSE,"PYG";"ACTIS",#N/A,FALSE,"BCE_GRAL-ACTIVO";"PASIS",#N/A,FALSE,"BCE_GRAL-PASIVO-PATRIM";"CAJAS",#N/A,FALSE,"CAJA"}</definedName>
    <definedName name="NNN" localSheetId="3" hidden="1">{"PYGS",#N/A,FALSE,"PYG";"ACTIS",#N/A,FALSE,"BCE_GRAL-ACTIVO";"PASIS",#N/A,FALSE,"BCE_GRAL-PASIVO-PATRIM";"CAJAS",#N/A,FALSE,"CAJA"}</definedName>
    <definedName name="NNN" localSheetId="2" hidden="1">{"PYGS",#N/A,FALSE,"PYG";"ACTIS",#N/A,FALSE,"BCE_GRAL-ACTIVO";"PASIS",#N/A,FALSE,"BCE_GRAL-PASIVO-PATRIM";"CAJAS",#N/A,FALSE,"CAJA"}</definedName>
    <definedName name="NNN" hidden="1">{"PYGS",#N/A,FALSE,"PYG";"ACTIS",#N/A,FALSE,"BCE_GRAL-ACTIVO";"PASIS",#N/A,FALSE,"BCE_GRAL-PASIVO-PATRIM";"CAJAS",#N/A,FALSE,"CAJA"}</definedName>
    <definedName name="NNNN" localSheetId="4" hidden="1">{"PYGT",#N/A,FALSE,"PYG";"ACTIT",#N/A,FALSE,"BCE_GRAL-ACTIVO";"PASIT",#N/A,FALSE,"BCE_GRAL-PASIVO-PATRIM";"CAJAT",#N/A,FALSE,"CAJA"}</definedName>
    <definedName name="NNNN" localSheetId="3" hidden="1">{"PYGT",#N/A,FALSE,"PYG";"ACTIT",#N/A,FALSE,"BCE_GRAL-ACTIVO";"PASIT",#N/A,FALSE,"BCE_GRAL-PASIVO-PATRIM";"CAJAT",#N/A,FALSE,"CAJA"}</definedName>
    <definedName name="NNNN" localSheetId="2" hidden="1">{"PYGT",#N/A,FALSE,"PYG";"ACTIT",#N/A,FALSE,"BCE_GRAL-ACTIVO";"PASIT",#N/A,FALSE,"BCE_GRAL-PASIVO-PATRIM";"CAJAT",#N/A,FALSE,"CAJA"}</definedName>
    <definedName name="NNNN" hidden="1">{"PYGT",#N/A,FALSE,"PYG";"ACTIT",#N/A,FALSE,"BCE_GRAL-ACTIVO";"PASIT",#N/A,FALSE,"BCE_GRAL-PASIVO-PATRIM";"CAJAT",#N/A,FALSE,"CAJA"}</definedName>
    <definedName name="NNNNN" localSheetId="4" hidden="1">{"PYGT",#N/A,FALSE,"PYG";"ACTIT",#N/A,FALSE,"BCE_GRAL-ACTIVO";"PASIT",#N/A,FALSE,"BCE_GRAL-PASIVO-PATRIM";"CAJAT",#N/A,FALSE,"CAJA"}</definedName>
    <definedName name="NNNNN" localSheetId="3" hidden="1">{"PYGT",#N/A,FALSE,"PYG";"ACTIT",#N/A,FALSE,"BCE_GRAL-ACTIVO";"PASIT",#N/A,FALSE,"BCE_GRAL-PASIVO-PATRIM";"CAJAT",#N/A,FALSE,"CAJA"}</definedName>
    <definedName name="NNNNN" localSheetId="2" hidden="1">{"PYGT",#N/A,FALSE,"PYG";"ACTIT",#N/A,FALSE,"BCE_GRAL-ACTIVO";"PASIT",#N/A,FALSE,"BCE_GRAL-PASIVO-PATRIM";"CAJAT",#N/A,FALSE,"CAJA"}</definedName>
    <definedName name="NNNNN" hidden="1">{"PYGT",#N/A,FALSE,"PYG";"ACTIT",#N/A,FALSE,"BCE_GRAL-ACTIVO";"PASIT",#N/A,FALSE,"BCE_GRAL-PASIVO-PATRIM";"CAJAT",#N/A,FALSE,"CAJA"}</definedName>
    <definedName name="NO" hidden="1">{"PYGT",#N/A,FALSE,"PYG";"ACTIT",#N/A,FALSE,"BCE_GRAL-ACTIVO";"PASIT",#N/A,FALSE,"BCE_GRAL-PASIVO-PATRIM";"CAJAT",#N/A,FALSE,"CAJA"}</definedName>
    <definedName name="noam" hidden="1">{#N/A,#N/A,FALSE,"Aging Summary";#N/A,#N/A,FALSE,"Ratio Analysis";#N/A,#N/A,FALSE,"Test 120 Day Accts";#N/A,#N/A,FALSE,"Tickmarks"}</definedName>
    <definedName name="NóminaConfidencial" localSheetId="4" hidden="1">{#N/A,#N/A,FALSE,"Aging Summary";#N/A,#N/A,FALSE,"Ratio Analysis";#N/A,#N/A,FALSE,"Test 120 Day Accts";#N/A,#N/A,FALSE,"Tickmarks"}</definedName>
    <definedName name="NóminaConfidencial" localSheetId="3" hidden="1">{#N/A,#N/A,FALSE,"Aging Summary";#N/A,#N/A,FALSE,"Ratio Analysis";#N/A,#N/A,FALSE,"Test 120 Day Accts";#N/A,#N/A,FALSE,"Tickmarks"}</definedName>
    <definedName name="NóminaConfidencial" localSheetId="2" hidden="1">{#N/A,#N/A,FALSE,"Aging Summary";#N/A,#N/A,FALSE,"Ratio Analysis";#N/A,#N/A,FALSE,"Test 120 Day Accts";#N/A,#N/A,FALSE,"Tickmarks"}</definedName>
    <definedName name="NóminaConfidencial" hidden="1">{#N/A,#N/A,FALSE,"Aging Summary";#N/A,#N/A,FALSE,"Ratio Analysis";#N/A,#N/A,FALSE,"Test 120 Day Accts";#N/A,#N/A,FALSE,"Tickmarks"}</definedName>
    <definedName name="nsda21s" localSheetId="4" hidden="1">{#N/A,#N/A,TRUE,"TAPA ";"INDICE_CLP",#N/A,TRUE,"Indice";#N/A,#N/A,TRUE,"Cond";#N/A,#N/A,TRUE,"Bce_hold";#N/A,#N/A,TRUE,"eerr_hold";#N/A,#N/A,TRUE,"eerr_prod";#N/A,#N/A,TRUE,"eerr_tipogtos";#N/A,#N/A,TRUE,"Flujo";#N/A,#N/A,TRUE,"Var_Ebit";#N/A,#N/A,TRUE,"Noa";#N/A,#N/A,TRUE,"Var_Noa"}</definedName>
    <definedName name="nsda21s" localSheetId="3" hidden="1">{#N/A,#N/A,TRUE,"TAPA ";"INDICE_CLP",#N/A,TRUE,"Indice";#N/A,#N/A,TRUE,"Cond";#N/A,#N/A,TRUE,"Bce_hold";#N/A,#N/A,TRUE,"eerr_hold";#N/A,#N/A,TRUE,"eerr_prod";#N/A,#N/A,TRUE,"eerr_tipogtos";#N/A,#N/A,TRUE,"Flujo";#N/A,#N/A,TRUE,"Var_Ebit";#N/A,#N/A,TRUE,"Noa";#N/A,#N/A,TRUE,"Var_Noa"}</definedName>
    <definedName name="nsda21s" localSheetId="2" hidden="1">{#N/A,#N/A,TRUE,"TAPA ";"INDICE_CLP",#N/A,TRUE,"Indice";#N/A,#N/A,TRUE,"Cond";#N/A,#N/A,TRUE,"Bce_hold";#N/A,#N/A,TRUE,"eerr_hold";#N/A,#N/A,TRUE,"eerr_prod";#N/A,#N/A,TRUE,"eerr_tipogtos";#N/A,#N/A,TRUE,"Flujo";#N/A,#N/A,TRUE,"Var_Ebit";#N/A,#N/A,TRUE,"Noa";#N/A,#N/A,TRUE,"Var_Noa"}</definedName>
    <definedName name="nsda21s" hidden="1">{#N/A,#N/A,TRUE,"TAPA ";"INDICE_CLP",#N/A,TRUE,"Indice";#N/A,#N/A,TRUE,"Cond";#N/A,#N/A,TRUE,"Bce_hold";#N/A,#N/A,TRUE,"eerr_hold";#N/A,#N/A,TRUE,"eerr_prod";#N/A,#N/A,TRUE,"eerr_tipogtos";#N/A,#N/A,TRUE,"Flujo";#N/A,#N/A,TRUE,"Var_Ebit";#N/A,#N/A,TRUE,"Noa";#N/A,#N/A,TRUE,"Var_Noa"}</definedName>
    <definedName name="NTA" hidden="1">{#N/A,#N/A,FALSE,"Aging Summary";#N/A,#N/A,FALSE,"Ratio Analysis";#N/A,#N/A,FALSE,"Test 120 Day Accts";#N/A,#N/A,FALSE,"Tickmarks"}</definedName>
    <definedName name="nzhshs" localSheetId="4" hidden="1">{"INDICE_USD",#N/A,FALSE,"Indice";#N/A,#N/A,FALSE,"Condusd";#N/A,#N/A,FALSE,"Bce_holdusd";#N/A,#N/A,FALSE,"eerr_holdusd";#N/A,#N/A,FALSE,"eerr_produsd";#N/A,#N/A,FALSE,"eerr_tipogtosusd";#N/A,#N/A,FALSE,"Flujousd";#N/A,#N/A,FALSE,"Var_Ebitusd";#N/A,#N/A,FALSE,"Noausd";#N/A,#N/A,FALSE,"Var_Noausd"}</definedName>
    <definedName name="nzhshs" localSheetId="3" hidden="1">{"INDICE_USD",#N/A,FALSE,"Indice";#N/A,#N/A,FALSE,"Condusd";#N/A,#N/A,FALSE,"Bce_holdusd";#N/A,#N/A,FALSE,"eerr_holdusd";#N/A,#N/A,FALSE,"eerr_produsd";#N/A,#N/A,FALSE,"eerr_tipogtosusd";#N/A,#N/A,FALSE,"Flujousd";#N/A,#N/A,FALSE,"Var_Ebitusd";#N/A,#N/A,FALSE,"Noausd";#N/A,#N/A,FALSE,"Var_Noausd"}</definedName>
    <definedName name="nzhshs" localSheetId="2" hidden="1">{"INDICE_USD",#N/A,FALSE,"Indice";#N/A,#N/A,FALSE,"Condusd";#N/A,#N/A,FALSE,"Bce_holdusd";#N/A,#N/A,FALSE,"eerr_holdusd";#N/A,#N/A,FALSE,"eerr_produsd";#N/A,#N/A,FALSE,"eerr_tipogtosusd";#N/A,#N/A,FALSE,"Flujousd";#N/A,#N/A,FALSE,"Var_Ebitusd";#N/A,#N/A,FALSE,"Noausd";#N/A,#N/A,FALSE,"Var_Noausd"}</definedName>
    <definedName name="nzhshs" hidden="1">{"INDICE_USD",#N/A,FALSE,"Indice";#N/A,#N/A,FALSE,"Condusd";#N/A,#N/A,FALSE,"Bce_holdusd";#N/A,#N/A,FALSE,"eerr_holdusd";#N/A,#N/A,FALSE,"eerr_produsd";#N/A,#N/A,FALSE,"eerr_tipogtosusd";#N/A,#N/A,FALSE,"Flujousd";#N/A,#N/A,FALSE,"Var_Ebitusd";#N/A,#N/A,FALSE,"Noausd";#N/A,#N/A,FALSE,"Var_Noausd"}</definedName>
    <definedName name="ÑAME" hidden="1">{#N/A,#N/A,FALSE,"Aging Summary";#N/A,#N/A,FALSE,"Ratio Analysis";#N/A,#N/A,FALSE,"Test 120 Day Accts";#N/A,#N/A,FALSE,"Tickmarks"}</definedName>
    <definedName name="ñl" localSheetId="4" hidden="1">{#N/A,#N/A,FALSE,"Aging Summary";#N/A,#N/A,FALSE,"Ratio Analysis";#N/A,#N/A,FALSE,"Test 120 Day Accts";#N/A,#N/A,FALSE,"Tickmarks"}</definedName>
    <definedName name="ñl" localSheetId="3" hidden="1">{#N/A,#N/A,FALSE,"Aging Summary";#N/A,#N/A,FALSE,"Ratio Analysis";#N/A,#N/A,FALSE,"Test 120 Day Accts";#N/A,#N/A,FALSE,"Tickmarks"}</definedName>
    <definedName name="ñl" localSheetId="2" hidden="1">{#N/A,#N/A,FALSE,"Aging Summary";#N/A,#N/A,FALSE,"Ratio Analysis";#N/A,#N/A,FALSE,"Test 120 Day Accts";#N/A,#N/A,FALSE,"Tickmarks"}</definedName>
    <definedName name="ñl" hidden="1">{#N/A,#N/A,FALSE,"Aging Summary";#N/A,#N/A,FALSE,"Ratio Analysis";#N/A,#N/A,FALSE,"Test 120 Day Accts";#N/A,#N/A,FALSE,"Tickmarks"}</definedName>
    <definedName name="ÑLK" hidden="1">{#N/A,#N/A,FALSE,"Aging Summary";#N/A,#N/A,FALSE,"Ratio Analysis";#N/A,#N/A,FALSE,"Test 120 Day Accts";#N/A,#N/A,FALSE,"Tickmarks"}</definedName>
    <definedName name="ÑLOOPP" hidden="1">{#N/A,#N/A,FALSE,"Aging Summary";#N/A,#N/A,FALSE,"Ratio Analysis";#N/A,#N/A,FALSE,"Test 120 Day Accts";#N/A,#N/A,FALSE,"Tickmarks"}</definedName>
    <definedName name="ÑOÑO" hidden="1">{#N/A,#N/A,FALSE,"Aging Summary";#N/A,#N/A,FALSE,"Ratio Analysis";#N/A,#N/A,FALSE,"Test 120 Day Accts";#N/A,#N/A,FALSE,"Tickmarks"}</definedName>
    <definedName name="ñpl" hidden="1">{#N/A,#N/A,FALSE,"Aging Summary";#N/A,#N/A,FALSE,"Ratio Analysis";#N/A,#N/A,FALSE,"Test 120 Day Accts";#N/A,#N/A,FALSE,"Tickmarks"}</definedName>
    <definedName name="o" localSheetId="4" hidden="1">{#N/A,#N/A,FALSE,"balance";#N/A,#N/A,FALSE,"PYG"}</definedName>
    <definedName name="o" localSheetId="3" hidden="1">{#N/A,#N/A,FALSE,"balance";#N/A,#N/A,FALSE,"PYG"}</definedName>
    <definedName name="o" localSheetId="2" hidden="1">{#N/A,#N/A,FALSE,"balance";#N/A,#N/A,FALSE,"PYG"}</definedName>
    <definedName name="o" hidden="1">{#N/A,#N/A,FALSE,"balance";#N/A,#N/A,FALSE,"PYG"}</definedName>
    <definedName name="OCT" localSheetId="6" hidden="1">{#N/A,#N/A,FALSE,"BL&amp;GPA";#N/A,#N/A,FALSE,"Summary";#N/A,#N/A,FALSE,"hts"}</definedName>
    <definedName name="OCT" localSheetId="1" hidden="1">{#N/A,#N/A,FALSE,"BL&amp;GPA";#N/A,#N/A,FALSE,"Summary";#N/A,#N/A,FALSE,"hts"}</definedName>
    <definedName name="OCT" localSheetId="4" hidden="1">{#N/A,#N/A,FALSE,"BL&amp;GPA";#N/A,#N/A,FALSE,"Summary";#N/A,#N/A,FALSE,"hts"}</definedName>
    <definedName name="OCT" localSheetId="0" hidden="1">{#N/A,#N/A,FALSE,"BL&amp;GPA";#N/A,#N/A,FALSE,"Summary";#N/A,#N/A,FALSE,"hts"}</definedName>
    <definedName name="OCT" localSheetId="3" hidden="1">{#N/A,#N/A,FALSE,"BL&amp;GPA";#N/A,#N/A,FALSE,"Summary";#N/A,#N/A,FALSE,"hts"}</definedName>
    <definedName name="OCT" localSheetId="2" hidden="1">{#N/A,#N/A,FALSE,"BL&amp;GPA";#N/A,#N/A,FALSE,"Summary";#N/A,#N/A,FALSE,"hts"}</definedName>
    <definedName name="OCT" localSheetId="5" hidden="1">{#N/A,#N/A,FALSE,"BL&amp;GPA";#N/A,#N/A,FALSE,"Summary";#N/A,#N/A,FALSE,"hts"}</definedName>
    <definedName name="OCT" localSheetId="7" hidden="1">{#N/A,#N/A,FALSE,"BL&amp;GPA";#N/A,#N/A,FALSE,"Summary";#N/A,#N/A,FALSE,"hts"}</definedName>
    <definedName name="OCT" hidden="1">{#N/A,#N/A,FALSE,"BL&amp;GPA";#N/A,#N/A,FALSE,"Summary";#N/A,#N/A,FALSE,"hts"}</definedName>
    <definedName name="oera" hidden="1">{#N/A,#N/A,FALSE,"Aging Summary";#N/A,#N/A,FALSE,"Ratio Analysis";#N/A,#N/A,FALSE,"Test 120 Day Accts";#N/A,#N/A,FALSE,"Tickmarks"}</definedName>
    <definedName name="OGRAD" hidden="1">{#N/A,#N/A,FALSE,"Aging Summary";#N/A,#N/A,FALSE,"Ratio Analysis";#N/A,#N/A,FALSE,"Test 120 Day Accts";#N/A,#N/A,FALSE,"Tickmarks"}</definedName>
    <definedName name="oi" localSheetId="4" hidden="1">{#N/A,#N/A,TRUE,"Cond";#N/A,#N/A,TRUE,"Bce_hold";#N/A,#N/A,TRUE,"eerr_hold";#N/A,#N/A,TRUE,"eerr_prod";#N/A,#N/A,TRUE,"eerr_tipogtos";#N/A,#N/A,TRUE,"Flujo";#N/A,#N/A,TRUE,"Var_Ebit";#N/A,#N/A,TRUE,"Noa";#N/A,#N/A,TRUE,"Var_Noa"}</definedName>
    <definedName name="oi" localSheetId="3" hidden="1">{#N/A,#N/A,TRUE,"Cond";#N/A,#N/A,TRUE,"Bce_hold";#N/A,#N/A,TRUE,"eerr_hold";#N/A,#N/A,TRUE,"eerr_prod";#N/A,#N/A,TRUE,"eerr_tipogtos";#N/A,#N/A,TRUE,"Flujo";#N/A,#N/A,TRUE,"Var_Ebit";#N/A,#N/A,TRUE,"Noa";#N/A,#N/A,TRUE,"Var_Noa"}</definedName>
    <definedName name="oi" localSheetId="2" hidden="1">{#N/A,#N/A,TRUE,"Cond";#N/A,#N/A,TRUE,"Bce_hold";#N/A,#N/A,TRUE,"eerr_hold";#N/A,#N/A,TRUE,"eerr_prod";#N/A,#N/A,TRUE,"eerr_tipogtos";#N/A,#N/A,TRUE,"Flujo";#N/A,#N/A,TRUE,"Var_Ebit";#N/A,#N/A,TRUE,"Noa";#N/A,#N/A,TRUE,"Var_Noa"}</definedName>
    <definedName name="oi" hidden="1">{#N/A,#N/A,TRUE,"Cond";#N/A,#N/A,TRUE,"Bce_hold";#N/A,#N/A,TRUE,"eerr_hold";#N/A,#N/A,TRUE,"eerr_prod";#N/A,#N/A,TRUE,"eerr_tipogtos";#N/A,#N/A,TRUE,"Flujo";#N/A,#N/A,TRUE,"Var_Ebit";#N/A,#N/A,TRUE,"Noa";#N/A,#N/A,TRUE,"Var_Noa"}</definedName>
    <definedName name="ojal" hidden="1">{#N/A,#N/A,FALSE,"Aging Summary";#N/A,#N/A,FALSE,"Ratio Analysis";#N/A,#N/A,FALSE,"Test 120 Day Accts";#N/A,#N/A,FALSE,"Tickmarks"}</definedName>
    <definedName name="ojc" localSheetId="4" hidden="1">{"'S. C. B.'!$E$207"}</definedName>
    <definedName name="ojc" localSheetId="3" hidden="1">{"'S. C. B.'!$E$207"}</definedName>
    <definedName name="ojc" localSheetId="2" hidden="1">{"'S. C. B.'!$E$207"}</definedName>
    <definedName name="ojc" hidden="1">{"'S. C. B.'!$E$207"}</definedName>
    <definedName name="ok" localSheetId="6" hidden="1">{#N/A,#N/A,FALSE,"balance";#N/A,#N/A,FALSE,"PYG"}</definedName>
    <definedName name="ok" localSheetId="1" hidden="1">{#N/A,#N/A,FALSE,"balance";#N/A,#N/A,FALSE,"PYG"}</definedName>
    <definedName name="ok" localSheetId="4" hidden="1">{#N/A,#N/A,FALSE,"balance";#N/A,#N/A,FALSE,"PYG"}</definedName>
    <definedName name="ok" localSheetId="0" hidden="1">{#N/A,#N/A,FALSE,"balance";#N/A,#N/A,FALSE,"PYG"}</definedName>
    <definedName name="ok" localSheetId="3" hidden="1">{#N/A,#N/A,FALSE,"balance";#N/A,#N/A,FALSE,"PYG"}</definedName>
    <definedName name="ok" localSheetId="2" hidden="1">{#N/A,#N/A,FALSE,"balance";#N/A,#N/A,FALSE,"PYG"}</definedName>
    <definedName name="ok" localSheetId="5" hidden="1">{#N/A,#N/A,FALSE,"balance";#N/A,#N/A,FALSE,"PYG"}</definedName>
    <definedName name="ok" localSheetId="7" hidden="1">{#N/A,#N/A,FALSE,"balance";#N/A,#N/A,FALSE,"PYG"}</definedName>
    <definedName name="ok" hidden="1">{#N/A,#N/A,FALSE,"balance";#N/A,#N/A,FALSE,"PYG"}</definedName>
    <definedName name="OLOCASUTO" localSheetId="6" hidden="1">{#N/A,#N/A,FALSE,"balance";#N/A,#N/A,FALSE,"PYG"}</definedName>
    <definedName name="OLOCASUTO" localSheetId="1" hidden="1">{#N/A,#N/A,FALSE,"balance";#N/A,#N/A,FALSE,"PYG"}</definedName>
    <definedName name="OLOCASUTO" localSheetId="4" hidden="1">{#N/A,#N/A,FALSE,"balance";#N/A,#N/A,FALSE,"PYG"}</definedName>
    <definedName name="OLOCASUTO" localSheetId="0" hidden="1">{#N/A,#N/A,FALSE,"balance";#N/A,#N/A,FALSE,"PYG"}</definedName>
    <definedName name="OLOCASUTO" localSheetId="3" hidden="1">{#N/A,#N/A,FALSE,"balance";#N/A,#N/A,FALSE,"PYG"}</definedName>
    <definedName name="OLOCASUTO" localSheetId="2" hidden="1">{#N/A,#N/A,FALSE,"balance";#N/A,#N/A,FALSE,"PYG"}</definedName>
    <definedName name="OLOCASUTO" localSheetId="5" hidden="1">{#N/A,#N/A,FALSE,"balance";#N/A,#N/A,FALSE,"PYG"}</definedName>
    <definedName name="OLOCASUTO" localSheetId="7" hidden="1">{#N/A,#N/A,FALSE,"balance";#N/A,#N/A,FALSE,"PYG"}</definedName>
    <definedName name="OLOCASUTO" hidden="1">{#N/A,#N/A,FALSE,"balance";#N/A,#N/A,FALSE,"PYG"}</definedName>
    <definedName name="onven" localSheetId="6" hidden="1">{#N/A,#N/A,FALSE,"balance";#N/A,#N/A,FALSE,"PYG"}</definedName>
    <definedName name="onven" localSheetId="1" hidden="1">{#N/A,#N/A,FALSE,"balance";#N/A,#N/A,FALSE,"PYG"}</definedName>
    <definedName name="onven" localSheetId="4" hidden="1">{#N/A,#N/A,FALSE,"balance";#N/A,#N/A,FALSE,"PYG"}</definedName>
    <definedName name="onven" localSheetId="0" hidden="1">{#N/A,#N/A,FALSE,"balance";#N/A,#N/A,FALSE,"PYG"}</definedName>
    <definedName name="onven" localSheetId="3" hidden="1">{#N/A,#N/A,FALSE,"balance";#N/A,#N/A,FALSE,"PYG"}</definedName>
    <definedName name="onven" localSheetId="2" hidden="1">{#N/A,#N/A,FALSE,"balance";#N/A,#N/A,FALSE,"PYG"}</definedName>
    <definedName name="onven" localSheetId="5" hidden="1">{#N/A,#N/A,FALSE,"balance";#N/A,#N/A,FALSE,"PYG"}</definedName>
    <definedName name="onven" localSheetId="7" hidden="1">{#N/A,#N/A,FALSE,"balance";#N/A,#N/A,FALSE,"PYG"}</definedName>
    <definedName name="onven" hidden="1">{#N/A,#N/A,FALSE,"balance";#N/A,#N/A,FALSE,"PYG"}</definedName>
    <definedName name="OOO" hidden="1">{#N/A,#N/A,FALSE,"Aging Summary";#N/A,#N/A,FALSE,"Ratio Analysis";#N/A,#N/A,FALSE,"Test 120 Day Accts";#N/A,#N/A,FALSE,"Tickmarks"}</definedName>
    <definedName name="operty" hidden="1">{#N/A,#N/A,FALSE,"Aging Summary";#N/A,#N/A,FALSE,"Ratio Analysis";#N/A,#N/A,FALSE,"Test 120 Day Accts";#N/A,#N/A,FALSE,"Tickmarks"}</definedName>
    <definedName name="OrderTable" localSheetId="4" hidden="1">#REF!</definedName>
    <definedName name="OrderTable" localSheetId="3" hidden="1">#REF!</definedName>
    <definedName name="OrderTable" localSheetId="2" hidden="1">#REF!</definedName>
    <definedName name="OrderTable" hidden="1">#REF!</definedName>
    <definedName name="oso" hidden="1">{#N/A,#N/A,FALSE,"Aging Summary";#N/A,#N/A,FALSE,"Ratio Analysis";#N/A,#N/A,FALSE,"Test 120 Day Accts";#N/A,#N/A,FALSE,"Tickmarks"}</definedName>
    <definedName name="OTRO" localSheetId="4" hidden="1">{#N/A,#N/A,FALSE,"Aging Summary";#N/A,#N/A,FALSE,"Ratio Analysis";#N/A,#N/A,FALSE,"Test 120 Day Accts";#N/A,#N/A,FALSE,"Tickmarks"}</definedName>
    <definedName name="OTRO" localSheetId="3" hidden="1">{#N/A,#N/A,FALSE,"Aging Summary";#N/A,#N/A,FALSE,"Ratio Analysis";#N/A,#N/A,FALSE,"Test 120 Day Accts";#N/A,#N/A,FALSE,"Tickmarks"}</definedName>
    <definedName name="OTRO" localSheetId="2" hidden="1">{#N/A,#N/A,FALSE,"Aging Summary";#N/A,#N/A,FALSE,"Ratio Analysis";#N/A,#N/A,FALSE,"Test 120 Day Accts";#N/A,#N/A,FALSE,"Tickmarks"}</definedName>
    <definedName name="OTRO" hidden="1">{#N/A,#N/A,FALSE,"Aging Summary";#N/A,#N/A,FALSE,"Ratio Analysis";#N/A,#N/A,FALSE,"Test 120 Day Accts";#N/A,#N/A,FALSE,"Tickmarks"}</definedName>
    <definedName name="p" localSheetId="4" hidden="1">{#N/A,#N/A,FALSE,"VENTAS";#N/A,#N/A,FALSE,"U. BRUTA";#N/A,#N/A,FALSE,"G. PERSONAL";#N/A,#N/A,FALSE,"G. OPERACION";#N/A,#N/A,FALSE,"G. DEPYAM";#N/A,#N/A,FALSE,"INGRESOS";#N/A,#N/A,FALSE,"G.o P.1";#N/A,#N/A,FALSE,"3%Informe Junta";#N/A,#N/A,FALSE,"P Y G (2)";#N/A,#N/A,FALSE,"CART. PROV.";#N/A,#N/A,FALSE,"Usecmes";#N/A,#N/A,FALSE,"Usecacu"}</definedName>
    <definedName name="p" localSheetId="3" hidden="1">{#N/A,#N/A,FALSE,"VENTAS";#N/A,#N/A,FALSE,"U. BRUTA";#N/A,#N/A,FALSE,"G. PERSONAL";#N/A,#N/A,FALSE,"G. OPERACION";#N/A,#N/A,FALSE,"G. DEPYAM";#N/A,#N/A,FALSE,"INGRESOS";#N/A,#N/A,FALSE,"G.o P.1";#N/A,#N/A,FALSE,"3%Informe Junta";#N/A,#N/A,FALSE,"P Y G (2)";#N/A,#N/A,FALSE,"CART. PROV.";#N/A,#N/A,FALSE,"Usecmes";#N/A,#N/A,FALSE,"Usecacu"}</definedName>
    <definedName name="p" localSheetId="2" hidden="1">{#N/A,#N/A,FALSE,"VENTAS";#N/A,#N/A,FALSE,"U. BRUTA";#N/A,#N/A,FALSE,"G. PERSONAL";#N/A,#N/A,FALSE,"G. OPERACION";#N/A,#N/A,FALSE,"G. DEPYAM";#N/A,#N/A,FALSE,"INGRESOS";#N/A,#N/A,FALSE,"G.o P.1";#N/A,#N/A,FALSE,"3%Informe Junta";#N/A,#N/A,FALSE,"P Y G (2)";#N/A,#N/A,FALSE,"CART. PROV.";#N/A,#N/A,FALSE,"Usecmes";#N/A,#N/A,FALSE,"Usecacu"}</definedName>
    <definedName name="p" hidden="1">{#N/A,#N/A,FALSE,"VENTAS";#N/A,#N/A,FALSE,"U. BRUTA";#N/A,#N/A,FALSE,"G. PERSONAL";#N/A,#N/A,FALSE,"G. OPERACION";#N/A,#N/A,FALSE,"G. DEPYAM";#N/A,#N/A,FALSE,"INGRESOS";#N/A,#N/A,FALSE,"G.o P.1";#N/A,#N/A,FALSE,"3%Informe Junta";#N/A,#N/A,FALSE,"P Y G (2)";#N/A,#N/A,FALSE,"CART. PROV.";#N/A,#N/A,FALSE,"Usecmes";#N/A,#N/A,FALSE,"Usecacu"}</definedName>
    <definedName name="P_Actual">[11]Parámetros!$E$3</definedName>
    <definedName name="P_Anterior">[11]Parámetros!$E$4</definedName>
    <definedName name="PABN" hidden="1">{#N/A,#N/A,FALSE,"Aging Summary";#N/A,#N/A,FALSE,"Ratio Analysis";#N/A,#N/A,FALSE,"Test 120 Day Accts";#N/A,#N/A,FALSE,"Tickmarks"}</definedName>
    <definedName name="Pal_Workbook_GUID" hidden="1">"R5YQ9RK1SJVQ1YWVMT59KYVQ"</definedName>
    <definedName name="PALENCIA" hidden="1">{#N/A,#N/A,FALSE,"Aging Summary";#N/A,#N/A,FALSE,"Ratio Analysis";#N/A,#N/A,FALSE,"Test 120 Day Accts";#N/A,#N/A,FALSE,"Tickmarks"}</definedName>
    <definedName name="PALTO" hidden="1">{#N/A,#N/A,FALSE,"Aging Summary";#N/A,#N/A,FALSE,"Ratio Analysis";#N/A,#N/A,FALSE,"Test 120 Day Accts";#N/A,#N/A,FALSE,"Tickmarks"}</definedName>
    <definedName name="parce" hidden="1">{#N/A,#N/A,FALSE,"Aging Summary";#N/A,#N/A,FALSE,"Ratio Analysis";#N/A,#N/A,FALSE,"Test 120 Day Accts";#N/A,#N/A,FALSE,"Tickmarks"}</definedName>
    <definedName name="parra" hidden="1">{#N/A,#N/A,FALSE,"Aging Summary";#N/A,#N/A,FALSE,"Ratio Analysis";#N/A,#N/A,FALSE,"Test 120 Day Accts";#N/A,#N/A,FALSE,"Tickmarks"}</definedName>
    <definedName name="particulares1" localSheetId="4" hidden="1">{#N/A,#N/A,FALSE,"Aging Summary";#N/A,#N/A,FALSE,"Ratio Analysis";#N/A,#N/A,FALSE,"Test 120 Day Accts";#N/A,#N/A,FALSE,"Tickmarks"}</definedName>
    <definedName name="particulares1" localSheetId="3" hidden="1">{#N/A,#N/A,FALSE,"Aging Summary";#N/A,#N/A,FALSE,"Ratio Analysis";#N/A,#N/A,FALSE,"Test 120 Day Accts";#N/A,#N/A,FALSE,"Tickmarks"}</definedName>
    <definedName name="particulares1" localSheetId="2" hidden="1">{#N/A,#N/A,FALSE,"Aging Summary";#N/A,#N/A,FALSE,"Ratio Analysis";#N/A,#N/A,FALSE,"Test 120 Day Accts";#N/A,#N/A,FALSE,"Tickmarks"}</definedName>
    <definedName name="particulares1" hidden="1">{#N/A,#N/A,FALSE,"Aging Summary";#N/A,#N/A,FALSE,"Ratio Analysis";#N/A,#N/A,FALSE,"Test 120 Day Accts";#N/A,#N/A,FALSE,"Tickmarks"}</definedName>
    <definedName name="PEPA" hidden="1">{"PYGT",#N/A,FALSE,"PYG";"ACTIT",#N/A,FALSE,"BCE_GRAL-ACTIVO";"PASIT",#N/A,FALSE,"BCE_GRAL-PASIVO-PATRIM";"CAJAT",#N/A,FALSE,"CAJA"}</definedName>
    <definedName name="PERA" hidden="1">{#N/A,#N/A,FALSE,"Aging Summary";#N/A,#N/A,FALSE,"Ratio Analysis";#N/A,#N/A,FALSE,"Test 120 Day Accts";#N/A,#N/A,FALSE,"Tickmarks"}</definedName>
    <definedName name="perico" hidden="1">{#N/A,#N/A,FALSE,"Aging Summary";#N/A,#N/A,FALSE,"Ratio Analysis";#N/A,#N/A,FALSE,"Test 120 Day Accts";#N/A,#N/A,FALSE,"Tickmarks"}</definedName>
    <definedName name="pintada" localSheetId="6" hidden="1">{#N/A,#N/A,FALSE,"balance";#N/A,#N/A,FALSE,"PYG"}</definedName>
    <definedName name="pintada" localSheetId="1" hidden="1">{#N/A,#N/A,FALSE,"balance";#N/A,#N/A,FALSE,"PYG"}</definedName>
    <definedName name="pintada" localSheetId="4" hidden="1">{#N/A,#N/A,FALSE,"balance";#N/A,#N/A,FALSE,"PYG"}</definedName>
    <definedName name="pintada" localSheetId="0" hidden="1">{#N/A,#N/A,FALSE,"balance";#N/A,#N/A,FALSE,"PYG"}</definedName>
    <definedName name="pintada" localSheetId="3" hidden="1">{#N/A,#N/A,FALSE,"balance";#N/A,#N/A,FALSE,"PYG"}</definedName>
    <definedName name="pintada" localSheetId="2" hidden="1">{#N/A,#N/A,FALSE,"balance";#N/A,#N/A,FALSE,"PYG"}</definedName>
    <definedName name="pintada" localSheetId="5" hidden="1">{#N/A,#N/A,FALSE,"balance";#N/A,#N/A,FALSE,"PYG"}</definedName>
    <definedName name="pintada" localSheetId="7" hidden="1">{#N/A,#N/A,FALSE,"balance";#N/A,#N/A,FALSE,"PYG"}</definedName>
    <definedName name="pintada" hidden="1">{#N/A,#N/A,FALSE,"balance";#N/A,#N/A,FALSE,"PYG"}</definedName>
    <definedName name="pl" localSheetId="4" hidden="1">{#N/A,#N/A,FALSE,"Aging Summary";#N/A,#N/A,FALSE,"Ratio Analysis";#N/A,#N/A,FALSE,"Test 120 Day Accts";#N/A,#N/A,FALSE,"Tickmarks"}</definedName>
    <definedName name="pl" localSheetId="3" hidden="1">{#N/A,#N/A,FALSE,"Aging Summary";#N/A,#N/A,FALSE,"Ratio Analysis";#N/A,#N/A,FALSE,"Test 120 Day Accts";#N/A,#N/A,FALSE,"Tickmarks"}</definedName>
    <definedName name="pl" localSheetId="2" hidden="1">{#N/A,#N/A,FALSE,"Aging Summary";#N/A,#N/A,FALSE,"Ratio Analysis";#N/A,#N/A,FALSE,"Test 120 Day Accts";#N/A,#N/A,FALSE,"Tickmarks"}</definedName>
    <definedName name="pl" hidden="1">{#N/A,#N/A,FALSE,"Aging Summary";#N/A,#N/A,FALSE,"Ratio Analysis";#N/A,#N/A,FALSE,"Test 120 Day Accts";#N/A,#N/A,FALSE,"Tickmarks"}</definedName>
    <definedName name="PÑ" hidden="1">{#N/A,#N/A,FALSE,"Aging Summary";#N/A,#N/A,FALSE,"Ratio Analysis";#N/A,#N/A,FALSE,"Test 120 Day Accts";#N/A,#N/A,FALSE,"Tickmarks"}</definedName>
    <definedName name="PO" hidden="1">{#N/A,#N/A,FALSE,"Aging Summary";#N/A,#N/A,FALSE,"Ratio Analysis";#N/A,#N/A,FALSE,"Test 120 Day Accts";#N/A,#N/A,FALSE,"Tickmarks"}</definedName>
    <definedName name="POLIS" hidden="1">{#N/A,#N/A,FALSE,"GRAFICO";#N/A,#N/A,FALSE,"CAJA (2)";#N/A,#N/A,FALSE,"TERCEROS-PROMEDIO";#N/A,#N/A,FALSE,"CAJA";#N/A,#N/A,FALSE,"INGRESOS1995-2003";#N/A,#N/A,FALSE,"GASTOS1995-2003"}</definedName>
    <definedName name="pop" hidden="1">'[12]dic 1999'!$AF$7:$AF$11</definedName>
    <definedName name="pp" localSheetId="6" hidden="1">{#N/A,#N/A,FALSE,"balance";#N/A,#N/A,FALSE,"PYG"}</definedName>
    <definedName name="pp" localSheetId="1" hidden="1">{#N/A,#N/A,FALSE,"balance";#N/A,#N/A,FALSE,"PYG"}</definedName>
    <definedName name="pp" localSheetId="4" hidden="1">{#N/A,#N/A,FALSE,"balance";#N/A,#N/A,FALSE,"PYG"}</definedName>
    <definedName name="pp" localSheetId="0" hidden="1">{#N/A,#N/A,FALSE,"balance";#N/A,#N/A,FALSE,"PYG"}</definedName>
    <definedName name="pp" localSheetId="3" hidden="1">{#N/A,#N/A,FALSE,"balance";#N/A,#N/A,FALSE,"PYG"}</definedName>
    <definedName name="pp" localSheetId="2" hidden="1">{#N/A,#N/A,FALSE,"balance";#N/A,#N/A,FALSE,"PYG"}</definedName>
    <definedName name="pp" localSheetId="5" hidden="1">{#N/A,#N/A,FALSE,"balance";#N/A,#N/A,FALSE,"PYG"}</definedName>
    <definedName name="pp" localSheetId="7" hidden="1">{#N/A,#N/A,FALSE,"balance";#N/A,#N/A,FALSE,"PYG"}</definedName>
    <definedName name="pp" hidden="1">{#N/A,#N/A,FALSE,"balance";#N/A,#N/A,FALSE,"PYG"}</definedName>
    <definedName name="ppppppppppp3" localSheetId="4" hidden="1">{#N/A,#N/A,FALSE,"VENTAS";#N/A,#N/A,FALSE,"U. BRUTA";#N/A,#N/A,FALSE,"G. PERSONAL";#N/A,#N/A,FALSE,"G. OPERACION";#N/A,#N/A,FALSE,"G. DEPYAM";#N/A,#N/A,FALSE,"INGRESOS";#N/A,#N/A,FALSE,"G.o P.1";#N/A,#N/A,FALSE,"3%Informe Junta";#N/A,#N/A,FALSE,"P Y G (2)";#N/A,#N/A,FALSE,"CART. PROV.";#N/A,#N/A,FALSE,"Usecmes";#N/A,#N/A,FALSE,"Usecacu"}</definedName>
    <definedName name="ppppppppppp3" localSheetId="3" hidden="1">{#N/A,#N/A,FALSE,"VENTAS";#N/A,#N/A,FALSE,"U. BRUTA";#N/A,#N/A,FALSE,"G. PERSONAL";#N/A,#N/A,FALSE,"G. OPERACION";#N/A,#N/A,FALSE,"G. DEPYAM";#N/A,#N/A,FALSE,"INGRESOS";#N/A,#N/A,FALSE,"G.o P.1";#N/A,#N/A,FALSE,"3%Informe Junta";#N/A,#N/A,FALSE,"P Y G (2)";#N/A,#N/A,FALSE,"CART. PROV.";#N/A,#N/A,FALSE,"Usecmes";#N/A,#N/A,FALSE,"Usecacu"}</definedName>
    <definedName name="ppppppppppp3" localSheetId="2" hidden="1">{#N/A,#N/A,FALSE,"VENTAS";#N/A,#N/A,FALSE,"U. BRUTA";#N/A,#N/A,FALSE,"G. PERSONAL";#N/A,#N/A,FALSE,"G. OPERACION";#N/A,#N/A,FALSE,"G. DEPYAM";#N/A,#N/A,FALSE,"INGRESOS";#N/A,#N/A,FALSE,"G.o P.1";#N/A,#N/A,FALSE,"3%Informe Junta";#N/A,#N/A,FALSE,"P Y G (2)";#N/A,#N/A,FALSE,"CART. PROV.";#N/A,#N/A,FALSE,"Usecmes";#N/A,#N/A,FALSE,"Usecacu"}</definedName>
    <definedName name="ppppppppppp3" hidden="1">{#N/A,#N/A,FALSE,"VENTAS";#N/A,#N/A,FALSE,"U. BRUTA";#N/A,#N/A,FALSE,"G. PERSONAL";#N/A,#N/A,FALSE,"G. OPERACION";#N/A,#N/A,FALSE,"G. DEPYAM";#N/A,#N/A,FALSE,"INGRESOS";#N/A,#N/A,FALSE,"G.o P.1";#N/A,#N/A,FALSE,"3%Informe Junta";#N/A,#N/A,FALSE,"P Y G (2)";#N/A,#N/A,FALSE,"CART. PROV.";#N/A,#N/A,FALSE,"Usecmes";#N/A,#N/A,FALSE,"Usecacu"}</definedName>
    <definedName name="Pptomol06revisrefino" hidden="1">{"'18'!$A$5:$M$18"}</definedName>
    <definedName name="ProdForm" localSheetId="4" hidden="1">#REF!</definedName>
    <definedName name="ProdForm" localSheetId="3" hidden="1">#REF!</definedName>
    <definedName name="ProdForm" localSheetId="2" hidden="1">#REF!</definedName>
    <definedName name="ProdForm" hidden="1">#REF!</definedName>
    <definedName name="Product" localSheetId="4" hidden="1">#REF!</definedName>
    <definedName name="Product" localSheetId="3" hidden="1">#REF!</definedName>
    <definedName name="Product" localSheetId="2" hidden="1">#REF!</definedName>
    <definedName name="Product" hidden="1">#REF!</definedName>
    <definedName name="PRODUCTO" localSheetId="6" hidden="1">{#N/A,#N/A,FALSE,"balance";#N/A,#N/A,FALSE,"PYG"}</definedName>
    <definedName name="PRODUCTO" localSheetId="1" hidden="1">{#N/A,#N/A,FALSE,"balance";#N/A,#N/A,FALSE,"PYG"}</definedName>
    <definedName name="PRODUCTO" localSheetId="4" hidden="1">{#N/A,#N/A,FALSE,"balance";#N/A,#N/A,FALSE,"PYG"}</definedName>
    <definedName name="PRODUCTO" localSheetId="0" hidden="1">{#N/A,#N/A,FALSE,"balance";#N/A,#N/A,FALSE,"PYG"}</definedName>
    <definedName name="PRODUCTO" localSheetId="3" hidden="1">{#N/A,#N/A,FALSE,"balance";#N/A,#N/A,FALSE,"PYG"}</definedName>
    <definedName name="PRODUCTO" localSheetId="2" hidden="1">{#N/A,#N/A,FALSE,"balance";#N/A,#N/A,FALSE,"PYG"}</definedName>
    <definedName name="PRODUCTO" localSheetId="5" hidden="1">{#N/A,#N/A,FALSE,"balance";#N/A,#N/A,FALSE,"PYG"}</definedName>
    <definedName name="PRODUCTO" localSheetId="7" hidden="1">{#N/A,#N/A,FALSE,"balance";#N/A,#N/A,FALSE,"PYG"}</definedName>
    <definedName name="PRODUCTO" hidden="1">{#N/A,#N/A,FALSE,"balance";#N/A,#N/A,FALSE,"PYG"}</definedName>
    <definedName name="PYG" localSheetId="6" hidden="1">{#N/A,#N/A,FALSE,"balance";#N/A,#N/A,FALSE,"PYG"}</definedName>
    <definedName name="PYG" localSheetId="1" hidden="1">{#N/A,#N/A,FALSE,"balance";#N/A,#N/A,FALSE,"PYG"}</definedName>
    <definedName name="PYG" localSheetId="4" hidden="1">{#N/A,#N/A,FALSE,"balance";#N/A,#N/A,FALSE,"PYG"}</definedName>
    <definedName name="PYG" localSheetId="0" hidden="1">{#N/A,#N/A,FALSE,"balance";#N/A,#N/A,FALSE,"PYG"}</definedName>
    <definedName name="PYG" localSheetId="3" hidden="1">{#N/A,#N/A,FALSE,"balance";#N/A,#N/A,FALSE,"PYG"}</definedName>
    <definedName name="PYG" localSheetId="2" hidden="1">{#N/A,#N/A,FALSE,"balance";#N/A,#N/A,FALSE,"PYG"}</definedName>
    <definedName name="PYG" localSheetId="5" hidden="1">{#N/A,#N/A,FALSE,"balance";#N/A,#N/A,FALSE,"PYG"}</definedName>
    <definedName name="PYG" localSheetId="7" hidden="1">{#N/A,#N/A,FALSE,"balance";#N/A,#N/A,FALSE,"PYG"}</definedName>
    <definedName name="PYG" hidden="1">{#N/A,#N/A,FALSE,"balance";#N/A,#N/A,FALSE,"PYG"}</definedName>
    <definedName name="pygnuevo" hidden="1">{#N/A,#N/A,FALSE,"balance";#N/A,#N/A,FALSE,"PYG"}</definedName>
    <definedName name="q" localSheetId="6" hidden="1">{#N/A,#N/A,FALSE,"Aging Summary";#N/A,#N/A,FALSE,"Ratio Analysis";#N/A,#N/A,FALSE,"Test 120 Day Accts";#N/A,#N/A,FALSE,"Tickmarks"}</definedName>
    <definedName name="q" localSheetId="1" hidden="1">{#N/A,#N/A,FALSE,"Aging Summary";#N/A,#N/A,FALSE,"Ratio Analysis";#N/A,#N/A,FALSE,"Test 120 Day Accts";#N/A,#N/A,FALSE,"Tickmarks"}</definedName>
    <definedName name="q" localSheetId="4" hidden="1">{#N/A,#N/A,FALSE,"Aging Summary";#N/A,#N/A,FALSE,"Ratio Analysis";#N/A,#N/A,FALSE,"Test 120 Day Accts";#N/A,#N/A,FALSE,"Tickmarks"}</definedName>
    <definedName name="q" localSheetId="0" hidden="1">{#N/A,#N/A,FALSE,"Aging Summary";#N/A,#N/A,FALSE,"Ratio Analysis";#N/A,#N/A,FALSE,"Test 120 Day Accts";#N/A,#N/A,FALSE,"Tickmarks"}</definedName>
    <definedName name="q" localSheetId="3" hidden="1">{#N/A,#N/A,FALSE,"Aging Summary";#N/A,#N/A,FALSE,"Ratio Analysis";#N/A,#N/A,FALSE,"Test 120 Day Accts";#N/A,#N/A,FALSE,"Tickmarks"}</definedName>
    <definedName name="q" localSheetId="2" hidden="1">{#N/A,#N/A,FALSE,"Aging Summary";#N/A,#N/A,FALSE,"Ratio Analysis";#N/A,#N/A,FALSE,"Test 120 Day Accts";#N/A,#N/A,FALSE,"Tickmarks"}</definedName>
    <definedName name="q" localSheetId="5" hidden="1">{#N/A,#N/A,FALSE,"Aging Summary";#N/A,#N/A,FALSE,"Ratio Analysis";#N/A,#N/A,FALSE,"Test 120 Day Accts";#N/A,#N/A,FALSE,"Tickmarks"}</definedName>
    <definedName name="q" localSheetId="7" hidden="1">{#N/A,#N/A,FALSE,"Aging Summary";#N/A,#N/A,FALSE,"Ratio Analysis";#N/A,#N/A,FALSE,"Test 120 Day Accts";#N/A,#N/A,FALSE,"Tickmarks"}</definedName>
    <definedName name="q" hidden="1">{#N/A,#N/A,FALSE,"Aging Summary";#N/A,#N/A,FALSE,"Ratio Analysis";#N/A,#N/A,FALSE,"Test 120 Day Accts";#N/A,#N/A,FALSE,"Tickmarks"}</definedName>
    <definedName name="QPI" hidden="1">{#N/A,#N/A,FALSE,"Aging Summary";#N/A,#N/A,FALSE,"Ratio Analysis";#N/A,#N/A,FALSE,"Test 120 Day Accts";#N/A,#N/A,FALSE,"Tickmarks"}</definedName>
    <definedName name="qq" localSheetId="4" hidden="1">{#N/A,#N/A,FALSE,"balance";#N/A,#N/A,FALSE,"PYG"}</definedName>
    <definedName name="qq" localSheetId="3" hidden="1">{#N/A,#N/A,FALSE,"balance";#N/A,#N/A,FALSE,"PYG"}</definedName>
    <definedName name="qq" localSheetId="2" hidden="1">{#N/A,#N/A,FALSE,"balance";#N/A,#N/A,FALSE,"PYG"}</definedName>
    <definedName name="qq" hidden="1">{#N/A,#N/A,FALSE,"balance";#N/A,#N/A,FALSE,"PYG"}</definedName>
    <definedName name="QQQQQQQ" localSheetId="4" hidden="1">#REF!</definedName>
    <definedName name="QQQQQQQ" localSheetId="3" hidden="1">#REF!</definedName>
    <definedName name="QQQQQQQ" localSheetId="2" hidden="1">#REF!</definedName>
    <definedName name="QQQQQQQ" hidden="1">#REF!</definedName>
    <definedName name="QUESO" hidden="1">{"PYGT",#N/A,FALSE,"PYG";"ACTIT",#N/A,FALSE,"BCE_GRAL-ACTIVO";"PASIT",#N/A,FALSE,"BCE_GRAL-PASIVO-PATRIM";"CAJAT",#N/A,FALSE,"CAJA"}</definedName>
    <definedName name="RAFA" localSheetId="4" hidden="1">{#N/A,#N/A,FALSE,"VENTAS";#N/A,#N/A,FALSE,"U. BRUTA";#N/A,#N/A,FALSE,"G. PERSONAL";#N/A,#N/A,FALSE,"G. OPERACION";#N/A,#N/A,FALSE,"G. DEPYAM";#N/A,#N/A,FALSE,"INGRESOS";#N/A,#N/A,FALSE,"G.o P.1";#N/A,#N/A,FALSE,"3%Informe Junta";#N/A,#N/A,FALSE,"P Y G (2)";#N/A,#N/A,FALSE,"CART. PROV.";#N/A,#N/A,FALSE,"Usecmes";#N/A,#N/A,FALSE,"Usecacu"}</definedName>
    <definedName name="RAFA" localSheetId="3" hidden="1">{#N/A,#N/A,FALSE,"VENTAS";#N/A,#N/A,FALSE,"U. BRUTA";#N/A,#N/A,FALSE,"G. PERSONAL";#N/A,#N/A,FALSE,"G. OPERACION";#N/A,#N/A,FALSE,"G. DEPYAM";#N/A,#N/A,FALSE,"INGRESOS";#N/A,#N/A,FALSE,"G.o P.1";#N/A,#N/A,FALSE,"3%Informe Junta";#N/A,#N/A,FALSE,"P Y G (2)";#N/A,#N/A,FALSE,"CART. PROV.";#N/A,#N/A,FALSE,"Usecmes";#N/A,#N/A,FALSE,"Usecacu"}</definedName>
    <definedName name="RAFA" localSheetId="2" hidden="1">{#N/A,#N/A,FALSE,"VENTAS";#N/A,#N/A,FALSE,"U. BRUTA";#N/A,#N/A,FALSE,"G. PERSONAL";#N/A,#N/A,FALSE,"G. OPERACION";#N/A,#N/A,FALSE,"G. DEPYAM";#N/A,#N/A,FALSE,"INGRESOS";#N/A,#N/A,FALSE,"G.o P.1";#N/A,#N/A,FALSE,"3%Informe Junta";#N/A,#N/A,FALSE,"P Y G (2)";#N/A,#N/A,FALSE,"CART. PROV.";#N/A,#N/A,FALSE,"Usecmes";#N/A,#N/A,FALSE,"Usecacu"}</definedName>
    <definedName name="RAFA" hidden="1">{#N/A,#N/A,FALSE,"VENTAS";#N/A,#N/A,FALSE,"U. BRUTA";#N/A,#N/A,FALSE,"G. PERSONAL";#N/A,#N/A,FALSE,"G. OPERACION";#N/A,#N/A,FALSE,"G. DEPYAM";#N/A,#N/A,FALSE,"INGRESOS";#N/A,#N/A,FALSE,"G.o P.1";#N/A,#N/A,FALSE,"3%Informe Junta";#N/A,#N/A,FALSE,"P Y G (2)";#N/A,#N/A,FALSE,"CART. PROV.";#N/A,#N/A,FALSE,"Usecmes";#N/A,#N/A,FALSE,"Usecacu"}</definedName>
    <definedName name="RAIZ" hidden="1">{#N/A,#N/A,FALSE,"Aging Summary";#N/A,#N/A,FALSE,"Ratio Analysis";#N/A,#N/A,FALSE,"Test 120 Day Accts";#N/A,#N/A,FALSE,"Tickmarks"}</definedName>
    <definedName name="RCArea" localSheetId="4" hidden="1">#REF!</definedName>
    <definedName name="RCArea" localSheetId="3" hidden="1">#REF!</definedName>
    <definedName name="RCArea" localSheetId="2" hidden="1">#REF!</definedName>
    <definedName name="RCArea" hidden="1">#REF!</definedName>
    <definedName name="re" localSheetId="6" hidden="1">{#N/A,#N/A,FALSE,"balance";#N/A,#N/A,FALSE,"PYG"}</definedName>
    <definedName name="re" localSheetId="1" hidden="1">{#N/A,#N/A,FALSE,"balance";#N/A,#N/A,FALSE,"PYG"}</definedName>
    <definedName name="re" localSheetId="4" hidden="1">{#N/A,#N/A,FALSE,"balance";#N/A,#N/A,FALSE,"PYG"}</definedName>
    <definedName name="re" localSheetId="0" hidden="1">{#N/A,#N/A,FALSE,"balance";#N/A,#N/A,FALSE,"PYG"}</definedName>
    <definedName name="re" localSheetId="3" hidden="1">{#N/A,#N/A,FALSE,"balance";#N/A,#N/A,FALSE,"PYG"}</definedName>
    <definedName name="re" localSheetId="2" hidden="1">{#N/A,#N/A,FALSE,"balance";#N/A,#N/A,FALSE,"PYG"}</definedName>
    <definedName name="re" localSheetId="5" hidden="1">{#N/A,#N/A,FALSE,"balance";#N/A,#N/A,FALSE,"PYG"}</definedName>
    <definedName name="re" localSheetId="7" hidden="1">{#N/A,#N/A,FALSE,"balance";#N/A,#N/A,FALSE,"PYG"}</definedName>
    <definedName name="re" hidden="1">{#N/A,#N/A,FALSE,"balance";#N/A,#N/A,FALSE,"PYG"}</definedName>
    <definedName name="REA" localSheetId="4" hidden="1">{"'S. C. B.'!$E$207"}</definedName>
    <definedName name="REA" localSheetId="3" hidden="1">{"'S. C. B.'!$E$207"}</definedName>
    <definedName name="REA" localSheetId="2" hidden="1">{"'S. C. B.'!$E$207"}</definedName>
    <definedName name="REA" hidden="1">{"'S. C. B.'!$E$207"}</definedName>
    <definedName name="reajuste" localSheetId="4" hidden="1">{"'S. C. B.'!$E$207"}</definedName>
    <definedName name="reajuste" localSheetId="3" hidden="1">{"'S. C. B.'!$E$207"}</definedName>
    <definedName name="reajuste" localSheetId="2" hidden="1">{"'S. C. B.'!$E$207"}</definedName>
    <definedName name="reajuste" hidden="1">{"'S. C. B.'!$E$207"}</definedName>
    <definedName name="REE" hidden="1">{"'18'!$A$5:$M$18"}</definedName>
    <definedName name="rei" hidden="1">{"'18'!$A$5:$M$18"}</definedName>
    <definedName name="RENTA" localSheetId="4" hidden="1">{"'S. C. B.'!$E$207"}</definedName>
    <definedName name="RENTA" localSheetId="3" hidden="1">{"'S. C. B.'!$E$207"}</definedName>
    <definedName name="RENTA" localSheetId="2" hidden="1">{"'S. C. B.'!$E$207"}</definedName>
    <definedName name="RENTA" hidden="1">{"'S. C. B.'!$E$207"}</definedName>
    <definedName name="res" hidden="1">{#N/A,#N/A,FALSE,"GRAFICO";#N/A,#N/A,FALSE,"CAJA (2)";#N/A,#N/A,FALSE,"TERCEROS-PROMEDIO";#N/A,#N/A,FALSE,"CAJA";#N/A,#N/A,FALSE,"INGRESOS1995-2003";#N/A,#N/A,FALSE,"GASTOS1995-2003"}</definedName>
    <definedName name="RESUMEN" localSheetId="4" hidden="1">{"'S. C. B.'!$E$207"}</definedName>
    <definedName name="RESUMEN" localSheetId="3" hidden="1">{"'S. C. B.'!$E$207"}</definedName>
    <definedName name="RESUMEN" localSheetId="2" hidden="1">{"'S. C. B.'!$E$207"}</definedName>
    <definedName name="RESUMEN" hidden="1">{"'S. C. B.'!$E$207"}</definedName>
    <definedName name="ret" hidden="1">{#N/A,#N/A,FALSE,"Aging Summary";#N/A,#N/A,FALSE,"Ratio Analysis";#N/A,#N/A,FALSE,"Test 120 Day Accts";#N/A,#N/A,FALSE,"Tickmarks"}</definedName>
    <definedName name="retefuente" hidden="1">{#N/A,#N/A,FALSE,"balance";#N/A,#N/A,FALSE,"PYG"}</definedName>
    <definedName name="retefuente2" hidden="1">{#N/A,#N/A,FALSE,"balance";#N/A,#N/A,FALSE,"PYG"}</definedName>
    <definedName name="reti" hidden="1">{"'18'!$A$5:$M$18"}</definedName>
    <definedName name="retiro" hidden="1">{"'18'!$A$5:$M$18"}</definedName>
    <definedName name="RF" localSheetId="4" hidden="1">{#N/A,#N/A,FALSE,"Aging Summary";#N/A,#N/A,FALSE,"Ratio Analysis";#N/A,#N/A,FALSE,"Test 120 Day Accts";#N/A,#N/A,FALSE,"Tickmarks"}</definedName>
    <definedName name="RF" localSheetId="3" hidden="1">{#N/A,#N/A,FALSE,"Aging Summary";#N/A,#N/A,FALSE,"Ratio Analysis";#N/A,#N/A,FALSE,"Test 120 Day Accts";#N/A,#N/A,FALSE,"Tickmarks"}</definedName>
    <definedName name="RF" localSheetId="2" hidden="1">{#N/A,#N/A,FALSE,"Aging Summary";#N/A,#N/A,FALSE,"Ratio Analysis";#N/A,#N/A,FALSE,"Test 120 Day Accts";#N/A,#N/A,FALSE,"Tickmarks"}</definedName>
    <definedName name="RF" hidden="1">{#N/A,#N/A,FALSE,"Aging Summary";#N/A,#N/A,FALSE,"Ratio Analysis";#N/A,#N/A,FALSE,"Test 120 Day Accts";#N/A,#N/A,FALSE,"Tickmarks"}</definedName>
    <definedName name="rfg" localSheetId="4" hidden="1">{#N/A,#N/A,TRUE,"TAPA ";"INDICE_CLP",#N/A,TRUE,"Indice";#N/A,#N/A,TRUE,"Cond";#N/A,#N/A,TRUE,"Bce_hold";#N/A,#N/A,TRUE,"eerr_hold";#N/A,#N/A,TRUE,"eerr_prod";#N/A,#N/A,TRUE,"eerr_tipogtos";#N/A,#N/A,TRUE,"Flujo";#N/A,#N/A,TRUE,"Var_Ebit";#N/A,#N/A,TRUE,"Noa";#N/A,#N/A,TRUE,"Var_Noa"}</definedName>
    <definedName name="rfg" localSheetId="3" hidden="1">{#N/A,#N/A,TRUE,"TAPA ";"INDICE_CLP",#N/A,TRUE,"Indice";#N/A,#N/A,TRUE,"Cond";#N/A,#N/A,TRUE,"Bce_hold";#N/A,#N/A,TRUE,"eerr_hold";#N/A,#N/A,TRUE,"eerr_prod";#N/A,#N/A,TRUE,"eerr_tipogtos";#N/A,#N/A,TRUE,"Flujo";#N/A,#N/A,TRUE,"Var_Ebit";#N/A,#N/A,TRUE,"Noa";#N/A,#N/A,TRUE,"Var_Noa"}</definedName>
    <definedName name="rfg" localSheetId="2" hidden="1">{#N/A,#N/A,TRUE,"TAPA ";"INDICE_CLP",#N/A,TRUE,"Indice";#N/A,#N/A,TRUE,"Cond";#N/A,#N/A,TRUE,"Bce_hold";#N/A,#N/A,TRUE,"eerr_hold";#N/A,#N/A,TRUE,"eerr_prod";#N/A,#N/A,TRUE,"eerr_tipogtos";#N/A,#N/A,TRUE,"Flujo";#N/A,#N/A,TRUE,"Var_Ebit";#N/A,#N/A,TRUE,"Noa";#N/A,#N/A,TRUE,"Var_Noa"}</definedName>
    <definedName name="rfg" hidden="1">{#N/A,#N/A,TRUE,"TAPA ";"INDICE_CLP",#N/A,TRUE,"Indice";#N/A,#N/A,TRUE,"Cond";#N/A,#N/A,TRUE,"Bce_hold";#N/A,#N/A,TRUE,"eerr_hold";#N/A,#N/A,TRUE,"eerr_prod";#N/A,#N/A,TRUE,"eerr_tipogtos";#N/A,#N/A,TRUE,"Flujo";#N/A,#N/A,TRUE,"Var_Ebit";#N/A,#N/A,TRUE,"Noa";#N/A,#N/A,TRUE,"Var_Noa"}</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141597</definedName>
    <definedName name="RiskHasSettings" hidden="1">5</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TRUE</definedName>
    <definedName name="RiskUseMultipleCPUs" hidden="1">FALSE</definedName>
    <definedName name="rr" hidden="1">{#N/A,#N/A,FALSE,"balance";#N/A,#N/A,FALSE,"PYG"}</definedName>
    <definedName name="rrr" hidden="1">{#N/A,#N/A,FALSE,"balance";#N/A,#N/A,FALSE,"PYG"}</definedName>
    <definedName name="rrrrrrrrrrr" localSheetId="4" hidden="1">{#N/A,#N/A,FALSE,"GRAFICO";#N/A,#N/A,FALSE,"CAJA (2)";#N/A,#N/A,FALSE,"TERCEROS-PROMEDIO";#N/A,#N/A,FALSE,"CAJA";#N/A,#N/A,FALSE,"INGRESOS1995-2003";#N/A,#N/A,FALSE,"GASTOS1995-2003"}</definedName>
    <definedName name="rrrrrrrrrrr" localSheetId="3" hidden="1">{#N/A,#N/A,FALSE,"GRAFICO";#N/A,#N/A,FALSE,"CAJA (2)";#N/A,#N/A,FALSE,"TERCEROS-PROMEDIO";#N/A,#N/A,FALSE,"CAJA";#N/A,#N/A,FALSE,"INGRESOS1995-2003";#N/A,#N/A,FALSE,"GASTOS1995-2003"}</definedName>
    <definedName name="rrrrrrrrrrr" localSheetId="2" hidden="1">{#N/A,#N/A,FALSE,"GRAFICO";#N/A,#N/A,FALSE,"CAJA (2)";#N/A,#N/A,FALSE,"TERCEROS-PROMEDIO";#N/A,#N/A,FALSE,"CAJA";#N/A,#N/A,FALSE,"INGRESOS1995-2003";#N/A,#N/A,FALSE,"GASTOS1995-2003"}</definedName>
    <definedName name="rrrrrrrrrrr" hidden="1">{#N/A,#N/A,FALSE,"GRAFICO";#N/A,#N/A,FALSE,"CAJA (2)";#N/A,#N/A,FALSE,"TERCEROS-PROMEDIO";#N/A,#N/A,FALSE,"CAJA";#N/A,#N/A,FALSE,"INGRESOS1995-2003";#N/A,#N/A,FALSE,"GASTOS1995-2003"}</definedName>
    <definedName name="rrtrr" hidden="1">{"PYGT",#N/A,FALSE,"PYG";"ACTIT",#N/A,FALSE,"BCE_GRAL-ACTIVO";"PASIT",#N/A,FALSE,"BCE_GRAL-PASIVO-PATRIM";"CAJAT",#N/A,FALSE,"CAJA"}</definedName>
    <definedName name="RT" localSheetId="4" hidden="1">{"'S. C. B.'!$E$207"}</definedName>
    <definedName name="RT" localSheetId="3" hidden="1">{"'S. C. B.'!$E$207"}</definedName>
    <definedName name="RT" localSheetId="2" hidden="1">{"'S. C. B.'!$E$207"}</definedName>
    <definedName name="RT" hidden="1">{"'S. C. B.'!$E$207"}</definedName>
    <definedName name="RTS" hidden="1">{#N/A,#N/A,FALSE,"Aging Summary";#N/A,#N/A,FALSE,"Ratio Analysis";#N/A,#N/A,FALSE,"Test 120 Day Accts";#N/A,#N/A,FALSE,"Tickmarks"}</definedName>
    <definedName name="RzaFA" localSheetId="4" hidden="1">{#N/A,#N/A,FALSE,"VENTAS";#N/A,#N/A,FALSE,"U. BRUTA";#N/A,#N/A,FALSE,"G. PERSONAL";#N/A,#N/A,FALSE,"G. OPERACION";#N/A,#N/A,FALSE,"G. DEPYAM";#N/A,#N/A,FALSE,"INGRESOS";#N/A,#N/A,FALSE,"G.o P.1";#N/A,#N/A,FALSE,"3%Informe Junta";#N/A,#N/A,FALSE,"P Y G (2)";#N/A,#N/A,FALSE,"CART. PROV.";#N/A,#N/A,FALSE,"Usecmes";#N/A,#N/A,FALSE,"Usecacu"}</definedName>
    <definedName name="RzaFA" localSheetId="3" hidden="1">{#N/A,#N/A,FALSE,"VENTAS";#N/A,#N/A,FALSE,"U. BRUTA";#N/A,#N/A,FALSE,"G. PERSONAL";#N/A,#N/A,FALSE,"G. OPERACION";#N/A,#N/A,FALSE,"G. DEPYAM";#N/A,#N/A,FALSE,"INGRESOS";#N/A,#N/A,FALSE,"G.o P.1";#N/A,#N/A,FALSE,"3%Informe Junta";#N/A,#N/A,FALSE,"P Y G (2)";#N/A,#N/A,FALSE,"CART. PROV.";#N/A,#N/A,FALSE,"Usecmes";#N/A,#N/A,FALSE,"Usecacu"}</definedName>
    <definedName name="RzaFA" localSheetId="2" hidden="1">{#N/A,#N/A,FALSE,"VENTAS";#N/A,#N/A,FALSE,"U. BRUTA";#N/A,#N/A,FALSE,"G. PERSONAL";#N/A,#N/A,FALSE,"G. OPERACION";#N/A,#N/A,FALSE,"G. DEPYAM";#N/A,#N/A,FALSE,"INGRESOS";#N/A,#N/A,FALSE,"G.o P.1";#N/A,#N/A,FALSE,"3%Informe Junta";#N/A,#N/A,FALSE,"P Y G (2)";#N/A,#N/A,FALSE,"CART. PROV.";#N/A,#N/A,FALSE,"Usecmes";#N/A,#N/A,FALSE,"Usecacu"}</definedName>
    <definedName name="RzaFA" hidden="1">{#N/A,#N/A,FALSE,"VENTAS";#N/A,#N/A,FALSE,"U. BRUTA";#N/A,#N/A,FALSE,"G. PERSONAL";#N/A,#N/A,FALSE,"G. OPERACION";#N/A,#N/A,FALSE,"G. DEPYAM";#N/A,#N/A,FALSE,"INGRESOS";#N/A,#N/A,FALSE,"G.o P.1";#N/A,#N/A,FALSE,"3%Informe Junta";#N/A,#N/A,FALSE,"P Y G (2)";#N/A,#N/A,FALSE,"CART. PROV.";#N/A,#N/A,FALSE,"Usecmes";#N/A,#N/A,FALSE,"Usecacu"}</definedName>
    <definedName name="s" localSheetId="1" hidden="1">{#N/A,#N/A,FALSE,"balance";#N/A,#N/A,FALSE,"PYG"}</definedName>
    <definedName name="s" localSheetId="4" hidden="1">{#N/A,#N/A,FALSE,"balance";#N/A,#N/A,FALSE,"PYG"}</definedName>
    <definedName name="s" localSheetId="0" hidden="1">{#N/A,#N/A,FALSE,"balance";#N/A,#N/A,FALSE,"PYG"}</definedName>
    <definedName name="s" localSheetId="3" hidden="1">{#N/A,#N/A,FALSE,"balance";#N/A,#N/A,FALSE,"PYG"}</definedName>
    <definedName name="s" localSheetId="2" hidden="1">{#N/A,#N/A,FALSE,"balance";#N/A,#N/A,FALSE,"PYG"}</definedName>
    <definedName name="s" hidden="1">{#N/A,#N/A,FALSE,"balance";#N/A,#N/A,FALSE,"PYG"}</definedName>
    <definedName name="SAD" localSheetId="4" hidden="1">{#N/A,#N/A,FALSE,"Aging Summary";#N/A,#N/A,FALSE,"Ratio Analysis";#N/A,#N/A,FALSE,"Test 120 Day Accts";#N/A,#N/A,FALSE,"Tickmarks"}</definedName>
    <definedName name="SAD" localSheetId="3" hidden="1">{#N/A,#N/A,FALSE,"Aging Summary";#N/A,#N/A,FALSE,"Ratio Analysis";#N/A,#N/A,FALSE,"Test 120 Day Accts";#N/A,#N/A,FALSE,"Tickmarks"}</definedName>
    <definedName name="SAD" localSheetId="2" hidden="1">{#N/A,#N/A,FALSE,"Aging Summary";#N/A,#N/A,FALSE,"Ratio Analysis";#N/A,#N/A,FALSE,"Test 120 Day Accts";#N/A,#N/A,FALSE,"Tickmarks"}</definedName>
    <definedName name="SAD" hidden="1">{#N/A,#N/A,FALSE,"Aging Summary";#N/A,#N/A,FALSE,"Ratio Analysis";#N/A,#N/A,FALSE,"Test 120 Day Accts";#N/A,#N/A,FALSE,"Tickmarks"}</definedName>
    <definedName name="sadadd" localSheetId="4" hidden="1">{#N/A,#N/A,TRUE,"Cond";#N/A,#N/A,TRUE,"Bce_hold";#N/A,#N/A,TRUE,"eerr_hold";#N/A,#N/A,TRUE,"eerr_prod";#N/A,#N/A,TRUE,"eerr_tipogtos";#N/A,#N/A,TRUE,"Flujo";#N/A,#N/A,TRUE,"Var_Ebit";#N/A,#N/A,TRUE,"Noa";#N/A,#N/A,TRUE,"Var_Noa"}</definedName>
    <definedName name="sadadd" localSheetId="3" hidden="1">{#N/A,#N/A,TRUE,"Cond";#N/A,#N/A,TRUE,"Bce_hold";#N/A,#N/A,TRUE,"eerr_hold";#N/A,#N/A,TRUE,"eerr_prod";#N/A,#N/A,TRUE,"eerr_tipogtos";#N/A,#N/A,TRUE,"Flujo";#N/A,#N/A,TRUE,"Var_Ebit";#N/A,#N/A,TRUE,"Noa";#N/A,#N/A,TRUE,"Var_Noa"}</definedName>
    <definedName name="sadadd" localSheetId="2" hidden="1">{#N/A,#N/A,TRUE,"Cond";#N/A,#N/A,TRUE,"Bce_hold";#N/A,#N/A,TRUE,"eerr_hold";#N/A,#N/A,TRUE,"eerr_prod";#N/A,#N/A,TRUE,"eerr_tipogtos";#N/A,#N/A,TRUE,"Flujo";#N/A,#N/A,TRUE,"Var_Ebit";#N/A,#N/A,TRUE,"Noa";#N/A,#N/A,TRUE,"Var_Noa"}</definedName>
    <definedName name="sadadd" hidden="1">{#N/A,#N/A,TRUE,"Cond";#N/A,#N/A,TRUE,"Bce_hold";#N/A,#N/A,TRUE,"eerr_hold";#N/A,#N/A,TRUE,"eerr_prod";#N/A,#N/A,TRUE,"eerr_tipogtos";#N/A,#N/A,TRUE,"Flujo";#N/A,#N/A,TRUE,"Var_Ebit";#N/A,#N/A,TRUE,"Noa";#N/A,#N/A,TRUE,"Var_Noa"}</definedName>
    <definedName name="SALDOSAP" hidden="1">{"PYGS",#N/A,FALSE,"PYG";"ACTIS",#N/A,FALSE,"BCE_GRAL-ACTIVO";"PASIS",#N/A,FALSE,"BCE_GRAL-PASIVO-PATRIM";"CAJAS",#N/A,FALSE,"CAJA"}</definedName>
    <definedName name="SAPBEXhrIndnt" hidden="1">1</definedName>
    <definedName name="SAPBEXrevision" hidden="1">1</definedName>
    <definedName name="SAPBEXsysID" hidden="1">"BWP"</definedName>
    <definedName name="SAPBEXwbID" hidden="1">"3PAIY8A0PAFUN0NVJ1AMBH10D"</definedName>
    <definedName name="sd" hidden="1">{#N/A,#N/A,FALSE,"Aging Summary";#N/A,#N/A,FALSE,"Ratio Analysis";#N/A,#N/A,FALSE,"Test 120 Day Accts";#N/A,#N/A,FALSE,"Tickmarks"}</definedName>
    <definedName name="sdsdsd" localSheetId="4" hidden="1">#REF!</definedName>
    <definedName name="sdsdsd" localSheetId="3" hidden="1">#REF!</definedName>
    <definedName name="sdsdsd" localSheetId="2" hidden="1">#REF!</definedName>
    <definedName name="sdsdsd" hidden="1">#REF!</definedName>
    <definedName name="SELLO" hidden="1">{#N/A,#N/A,FALSE,"Aging Summary";#N/A,#N/A,FALSE,"Ratio Analysis";#N/A,#N/A,FALSE,"Test 120 Day Accts";#N/A,#N/A,FALSE,"Tickmarks"}</definedName>
    <definedName name="sencount" hidden="1">1</definedName>
    <definedName name="servicios" hidden="1">{#N/A,#N/A,FALSE,"Aging Summary";#N/A,#N/A,FALSE,"Ratio Analysis";#N/A,#N/A,FALSE,"Test 120 Day Accts";#N/A,#N/A,FALSE,"Tickmarks"}</definedName>
    <definedName name="sjjsjs" localSheetId="4" hidden="1">{#N/A,#N/A,TRUE,"TAPA ";"INDICE_CLP",#N/A,TRUE,"Indice";#N/A,#N/A,TRUE,"Cond";#N/A,#N/A,TRUE,"Bce_hold";#N/A,#N/A,TRUE,"eerr_hold";#N/A,#N/A,TRUE,"eerr_prod";#N/A,#N/A,TRUE,"eerr_tipogtos";#N/A,#N/A,TRUE,"Flujo";#N/A,#N/A,TRUE,"Var_Ebit";#N/A,#N/A,TRUE,"Noa";#N/A,#N/A,TRUE,"Var_Noa"}</definedName>
    <definedName name="sjjsjs" localSheetId="3" hidden="1">{#N/A,#N/A,TRUE,"TAPA ";"INDICE_CLP",#N/A,TRUE,"Indice";#N/A,#N/A,TRUE,"Cond";#N/A,#N/A,TRUE,"Bce_hold";#N/A,#N/A,TRUE,"eerr_hold";#N/A,#N/A,TRUE,"eerr_prod";#N/A,#N/A,TRUE,"eerr_tipogtos";#N/A,#N/A,TRUE,"Flujo";#N/A,#N/A,TRUE,"Var_Ebit";#N/A,#N/A,TRUE,"Noa";#N/A,#N/A,TRUE,"Var_Noa"}</definedName>
    <definedName name="sjjsjs" localSheetId="2" hidden="1">{#N/A,#N/A,TRUE,"TAPA ";"INDICE_CLP",#N/A,TRUE,"Indice";#N/A,#N/A,TRUE,"Cond";#N/A,#N/A,TRUE,"Bce_hold";#N/A,#N/A,TRUE,"eerr_hold";#N/A,#N/A,TRUE,"eerr_prod";#N/A,#N/A,TRUE,"eerr_tipogtos";#N/A,#N/A,TRUE,"Flujo";#N/A,#N/A,TRUE,"Var_Ebit";#N/A,#N/A,TRUE,"Noa";#N/A,#N/A,TRUE,"Var_Noa"}</definedName>
    <definedName name="sjjsjs" hidden="1">{#N/A,#N/A,TRUE,"TAPA ";"INDICE_CLP",#N/A,TRUE,"Indice";#N/A,#N/A,TRUE,"Cond";#N/A,#N/A,TRUE,"Bce_hold";#N/A,#N/A,TRUE,"eerr_hold";#N/A,#N/A,TRUE,"eerr_prod";#N/A,#N/A,TRUE,"eerr_tipogtos";#N/A,#N/A,TRUE,"Flujo";#N/A,#N/A,TRUE,"Var_Ebit";#N/A,#N/A,TRUE,"Noa";#N/A,#N/A,TRUE,"Var_Noa"}</definedName>
    <definedName name="sjjskjs" localSheetId="4" hidden="1">{"INDICE_USD",#N/A,FALSE,"Indice";#N/A,#N/A,FALSE,"Condusd";#N/A,#N/A,FALSE,"Bce_holdusd";#N/A,#N/A,FALSE,"eerr_holdusd";#N/A,#N/A,FALSE,"eerr_produsd";#N/A,#N/A,FALSE,"eerr_tipogtosusd";#N/A,#N/A,FALSE,"Flujousd";#N/A,#N/A,FALSE,"Var_Ebitusd";#N/A,#N/A,FALSE,"Noausd";#N/A,#N/A,FALSE,"Var_Noausd"}</definedName>
    <definedName name="sjjskjs" localSheetId="3" hidden="1">{"INDICE_USD",#N/A,FALSE,"Indice";#N/A,#N/A,FALSE,"Condusd";#N/A,#N/A,FALSE,"Bce_holdusd";#N/A,#N/A,FALSE,"eerr_holdusd";#N/A,#N/A,FALSE,"eerr_produsd";#N/A,#N/A,FALSE,"eerr_tipogtosusd";#N/A,#N/A,FALSE,"Flujousd";#N/A,#N/A,FALSE,"Var_Ebitusd";#N/A,#N/A,FALSE,"Noausd";#N/A,#N/A,FALSE,"Var_Noausd"}</definedName>
    <definedName name="sjjskjs" localSheetId="2" hidden="1">{"INDICE_USD",#N/A,FALSE,"Indice";#N/A,#N/A,FALSE,"Condusd";#N/A,#N/A,FALSE,"Bce_holdusd";#N/A,#N/A,FALSE,"eerr_holdusd";#N/A,#N/A,FALSE,"eerr_produsd";#N/A,#N/A,FALSE,"eerr_tipogtosusd";#N/A,#N/A,FALSE,"Flujousd";#N/A,#N/A,FALSE,"Var_Ebitusd";#N/A,#N/A,FALSE,"Noausd";#N/A,#N/A,FALSE,"Var_Noausd"}</definedName>
    <definedName name="sjjskjs" hidden="1">{"INDICE_USD",#N/A,FALSE,"Indice";#N/A,#N/A,FALSE,"Condusd";#N/A,#N/A,FALSE,"Bce_holdusd";#N/A,#N/A,FALSE,"eerr_holdusd";#N/A,#N/A,FALSE,"eerr_produsd";#N/A,#N/A,FALSE,"eerr_tipogtosusd";#N/A,#N/A,FALSE,"Flujousd";#N/A,#N/A,FALSE,"Var_Ebitusd";#N/A,#N/A,FALSE,"Noausd";#N/A,#N/A,FALSE,"Var_Noausd"}</definedName>
    <definedName name="sksssd" localSheetId="4" hidden="1">{#N/A,#N/A,TRUE,"Cond";#N/A,#N/A,TRUE,"Bce_hold";#N/A,#N/A,TRUE,"eerr_hold";#N/A,#N/A,TRUE,"eerr_prod";#N/A,#N/A,TRUE,"eerr_tipogtos";#N/A,#N/A,TRUE,"Flujo";#N/A,#N/A,TRUE,"Var_Ebit";#N/A,#N/A,TRUE,"Noa";#N/A,#N/A,TRUE,"Var_Noa"}</definedName>
    <definedName name="sksssd" localSheetId="3" hidden="1">{#N/A,#N/A,TRUE,"Cond";#N/A,#N/A,TRUE,"Bce_hold";#N/A,#N/A,TRUE,"eerr_hold";#N/A,#N/A,TRUE,"eerr_prod";#N/A,#N/A,TRUE,"eerr_tipogtos";#N/A,#N/A,TRUE,"Flujo";#N/A,#N/A,TRUE,"Var_Ebit";#N/A,#N/A,TRUE,"Noa";#N/A,#N/A,TRUE,"Var_Noa"}</definedName>
    <definedName name="sksssd" localSheetId="2" hidden="1">{#N/A,#N/A,TRUE,"Cond";#N/A,#N/A,TRUE,"Bce_hold";#N/A,#N/A,TRUE,"eerr_hold";#N/A,#N/A,TRUE,"eerr_prod";#N/A,#N/A,TRUE,"eerr_tipogtos";#N/A,#N/A,TRUE,"Flujo";#N/A,#N/A,TRUE,"Var_Ebit";#N/A,#N/A,TRUE,"Noa";#N/A,#N/A,TRUE,"Var_Noa"}</definedName>
    <definedName name="sksssd" hidden="1">{#N/A,#N/A,TRUE,"Cond";#N/A,#N/A,TRUE,"Bce_hold";#N/A,#N/A,TRUE,"eerr_hold";#N/A,#N/A,TRUE,"eerr_prod";#N/A,#N/A,TRUE,"eerr_tipogtos";#N/A,#N/A,TRUE,"Flujo";#N/A,#N/A,TRUE,"Var_Ebit";#N/A,#N/A,TRUE,"Noa";#N/A,#N/A,TRUE,"Var_Noa"}</definedName>
    <definedName name="slslkdkd" localSheetId="4" hidden="1">{"INDICE_USD",#N/A,FALSE,"Indice";#N/A,#N/A,FALSE,"Condusd";#N/A,#N/A,FALSE,"Bce_holdusd";#N/A,#N/A,FALSE,"eerr_holdusd";#N/A,#N/A,FALSE,"eerr_produsd";#N/A,#N/A,FALSE,"eerr_tipogtosusd";#N/A,#N/A,FALSE,"Flujousd";#N/A,#N/A,FALSE,"Var_Ebitusd";#N/A,#N/A,FALSE,"Noausd";#N/A,#N/A,FALSE,"Var_Noausd"}</definedName>
    <definedName name="slslkdkd" localSheetId="3" hidden="1">{"INDICE_USD",#N/A,FALSE,"Indice";#N/A,#N/A,FALSE,"Condusd";#N/A,#N/A,FALSE,"Bce_holdusd";#N/A,#N/A,FALSE,"eerr_holdusd";#N/A,#N/A,FALSE,"eerr_produsd";#N/A,#N/A,FALSE,"eerr_tipogtosusd";#N/A,#N/A,FALSE,"Flujousd";#N/A,#N/A,FALSE,"Var_Ebitusd";#N/A,#N/A,FALSE,"Noausd";#N/A,#N/A,FALSE,"Var_Noausd"}</definedName>
    <definedName name="slslkdkd" localSheetId="2" hidden="1">{"INDICE_USD",#N/A,FALSE,"Indice";#N/A,#N/A,FALSE,"Condusd";#N/A,#N/A,FALSE,"Bce_holdusd";#N/A,#N/A,FALSE,"eerr_holdusd";#N/A,#N/A,FALSE,"eerr_produsd";#N/A,#N/A,FALSE,"eerr_tipogtosusd";#N/A,#N/A,FALSE,"Flujousd";#N/A,#N/A,FALSE,"Var_Ebitusd";#N/A,#N/A,FALSE,"Noausd";#N/A,#N/A,FALSE,"Var_Noausd"}</definedName>
    <definedName name="slslkdkd" hidden="1">{"INDICE_USD",#N/A,FALSE,"Indice";#N/A,#N/A,FALSE,"Condusd";#N/A,#N/A,FALSE,"Bce_holdusd";#N/A,#N/A,FALSE,"eerr_holdusd";#N/A,#N/A,FALSE,"eerr_produsd";#N/A,#N/A,FALSE,"eerr_tipogtosusd";#N/A,#N/A,FALSE,"Flujousd";#N/A,#N/A,FALSE,"Var_Ebitusd";#N/A,#N/A,FALSE,"Noausd";#N/A,#N/A,FALSE,"Var_Noausd"}</definedName>
    <definedName name="slslslsl" localSheetId="4" hidden="1">{"INDICE_USD",#N/A,FALSE,"Indice";#N/A,#N/A,FALSE,"Condusd";#N/A,#N/A,FALSE,"Bce_holdusd";#N/A,#N/A,FALSE,"eerr_holdusd";#N/A,#N/A,FALSE,"eerr_produsd";#N/A,#N/A,FALSE,"eerr_tipogtosusd";#N/A,#N/A,FALSE,"Flujousd";#N/A,#N/A,FALSE,"Var_Ebitusd";#N/A,#N/A,FALSE,"Noausd";#N/A,#N/A,FALSE,"Var_Noausd"}</definedName>
    <definedName name="slslslsl" localSheetId="3" hidden="1">{"INDICE_USD",#N/A,FALSE,"Indice";#N/A,#N/A,FALSE,"Condusd";#N/A,#N/A,FALSE,"Bce_holdusd";#N/A,#N/A,FALSE,"eerr_holdusd";#N/A,#N/A,FALSE,"eerr_produsd";#N/A,#N/A,FALSE,"eerr_tipogtosusd";#N/A,#N/A,FALSE,"Flujousd";#N/A,#N/A,FALSE,"Var_Ebitusd";#N/A,#N/A,FALSE,"Noausd";#N/A,#N/A,FALSE,"Var_Noausd"}</definedName>
    <definedName name="slslslsl" localSheetId="2" hidden="1">{"INDICE_USD",#N/A,FALSE,"Indice";#N/A,#N/A,FALSE,"Condusd";#N/A,#N/A,FALSE,"Bce_holdusd";#N/A,#N/A,FALSE,"eerr_holdusd";#N/A,#N/A,FALSE,"eerr_produsd";#N/A,#N/A,FALSE,"eerr_tipogtosusd";#N/A,#N/A,FALSE,"Flujousd";#N/A,#N/A,FALSE,"Var_Ebitusd";#N/A,#N/A,FALSE,"Noausd";#N/A,#N/A,FALSE,"Var_Noausd"}</definedName>
    <definedName name="slslslsl" hidden="1">{"INDICE_USD",#N/A,FALSE,"Indice";#N/A,#N/A,FALSE,"Condusd";#N/A,#N/A,FALSE,"Bce_holdusd";#N/A,#N/A,FALSE,"eerr_holdusd";#N/A,#N/A,FALSE,"eerr_produsd";#N/A,#N/A,FALSE,"eerr_tipogtosusd";#N/A,#N/A,FALSE,"Flujousd";#N/A,#N/A,FALSE,"Var_Ebitusd";#N/A,#N/A,FALSE,"Noausd";#N/A,#N/A,FALSE,"Var_Noausd"}</definedName>
    <definedName name="smmaj" localSheetId="4" hidden="1">{"INDICE_USD",#N/A,FALSE,"Indice";#N/A,#N/A,FALSE,"Condusd";#N/A,#N/A,FALSE,"Bce_holdusd";#N/A,#N/A,FALSE,"eerr_holdusd";#N/A,#N/A,FALSE,"eerr_produsd";#N/A,#N/A,FALSE,"eerr_tipogtosusd";#N/A,#N/A,FALSE,"Flujousd";#N/A,#N/A,FALSE,"Var_Ebitusd";#N/A,#N/A,FALSE,"Noausd";#N/A,#N/A,FALSE,"Var_Noausd"}</definedName>
    <definedName name="smmaj" localSheetId="3" hidden="1">{"INDICE_USD",#N/A,FALSE,"Indice";#N/A,#N/A,FALSE,"Condusd";#N/A,#N/A,FALSE,"Bce_holdusd";#N/A,#N/A,FALSE,"eerr_holdusd";#N/A,#N/A,FALSE,"eerr_produsd";#N/A,#N/A,FALSE,"eerr_tipogtosusd";#N/A,#N/A,FALSE,"Flujousd";#N/A,#N/A,FALSE,"Var_Ebitusd";#N/A,#N/A,FALSE,"Noausd";#N/A,#N/A,FALSE,"Var_Noausd"}</definedName>
    <definedName name="smmaj" localSheetId="2" hidden="1">{"INDICE_USD",#N/A,FALSE,"Indice";#N/A,#N/A,FALSE,"Condusd";#N/A,#N/A,FALSE,"Bce_holdusd";#N/A,#N/A,FALSE,"eerr_holdusd";#N/A,#N/A,FALSE,"eerr_produsd";#N/A,#N/A,FALSE,"eerr_tipogtosusd";#N/A,#N/A,FALSE,"Flujousd";#N/A,#N/A,FALSE,"Var_Ebitusd";#N/A,#N/A,FALSE,"Noausd";#N/A,#N/A,FALSE,"Var_Noausd"}</definedName>
    <definedName name="smmaj" hidden="1">{"INDICE_USD",#N/A,FALSE,"Indice";#N/A,#N/A,FALSE,"Condusd";#N/A,#N/A,FALSE,"Bce_holdusd";#N/A,#N/A,FALSE,"eerr_holdusd";#N/A,#N/A,FALSE,"eerr_produsd";#N/A,#N/A,FALSE,"eerr_tipogtosusd";#N/A,#N/A,FALSE,"Flujousd";#N/A,#N/A,FALSE,"Var_Ebitusd";#N/A,#N/A,FALSE,"Noausd";#N/A,#N/A,FALSE,"Var_Noausd"}</definedName>
    <definedName name="smmsmsms" localSheetId="4" hidden="1">{"INDICE_USD",#N/A,FALSE,"Indice";#N/A,#N/A,FALSE,"Condusd";#N/A,#N/A,FALSE,"Bce_holdusd";#N/A,#N/A,FALSE,"eerr_holdusd";#N/A,#N/A,FALSE,"eerr_produsd";#N/A,#N/A,FALSE,"eerr_tipogtosusd";#N/A,#N/A,FALSE,"Flujousd";#N/A,#N/A,FALSE,"Var_Ebitusd";#N/A,#N/A,FALSE,"Noausd";#N/A,#N/A,FALSE,"Var_Noausd"}</definedName>
    <definedName name="smmsmsms" localSheetId="3" hidden="1">{"INDICE_USD",#N/A,FALSE,"Indice";#N/A,#N/A,FALSE,"Condusd";#N/A,#N/A,FALSE,"Bce_holdusd";#N/A,#N/A,FALSE,"eerr_holdusd";#N/A,#N/A,FALSE,"eerr_produsd";#N/A,#N/A,FALSE,"eerr_tipogtosusd";#N/A,#N/A,FALSE,"Flujousd";#N/A,#N/A,FALSE,"Var_Ebitusd";#N/A,#N/A,FALSE,"Noausd";#N/A,#N/A,FALSE,"Var_Noausd"}</definedName>
    <definedName name="smmsmsms" localSheetId="2" hidden="1">{"INDICE_USD",#N/A,FALSE,"Indice";#N/A,#N/A,FALSE,"Condusd";#N/A,#N/A,FALSE,"Bce_holdusd";#N/A,#N/A,FALSE,"eerr_holdusd";#N/A,#N/A,FALSE,"eerr_produsd";#N/A,#N/A,FALSE,"eerr_tipogtosusd";#N/A,#N/A,FALSE,"Flujousd";#N/A,#N/A,FALSE,"Var_Ebitusd";#N/A,#N/A,FALSE,"Noausd";#N/A,#N/A,FALSE,"Var_Noausd"}</definedName>
    <definedName name="smmsmsms" hidden="1">{"INDICE_USD",#N/A,FALSE,"Indice";#N/A,#N/A,FALSE,"Condusd";#N/A,#N/A,FALSE,"Bce_holdusd";#N/A,#N/A,FALSE,"eerr_holdusd";#N/A,#N/A,FALSE,"eerr_produsd";#N/A,#N/A,FALSE,"eerr_tipogtosusd";#N/A,#N/A,FALSE,"Flujousd";#N/A,#N/A,FALSE,"Var_Ebitusd";#N/A,#N/A,FALSE,"Noausd";#N/A,#N/A,FALSE,"Var_Noausd"}</definedName>
    <definedName name="smmssaa" localSheetId="4" hidden="1">{#N/A,#N/A,TRUE,"Cond";#N/A,#N/A,TRUE,"Bce_hold";#N/A,#N/A,TRUE,"eerr_hold";#N/A,#N/A,TRUE,"eerr_prod";#N/A,#N/A,TRUE,"eerr_tipogtos";#N/A,#N/A,TRUE,"Flujo";#N/A,#N/A,TRUE,"Var_Ebit";#N/A,#N/A,TRUE,"Noa";#N/A,#N/A,TRUE,"Var_Noa"}</definedName>
    <definedName name="smmssaa" localSheetId="3" hidden="1">{#N/A,#N/A,TRUE,"Cond";#N/A,#N/A,TRUE,"Bce_hold";#N/A,#N/A,TRUE,"eerr_hold";#N/A,#N/A,TRUE,"eerr_prod";#N/A,#N/A,TRUE,"eerr_tipogtos";#N/A,#N/A,TRUE,"Flujo";#N/A,#N/A,TRUE,"Var_Ebit";#N/A,#N/A,TRUE,"Noa";#N/A,#N/A,TRUE,"Var_Noa"}</definedName>
    <definedName name="smmssaa" localSheetId="2" hidden="1">{#N/A,#N/A,TRUE,"Cond";#N/A,#N/A,TRUE,"Bce_hold";#N/A,#N/A,TRUE,"eerr_hold";#N/A,#N/A,TRUE,"eerr_prod";#N/A,#N/A,TRUE,"eerr_tipogtos";#N/A,#N/A,TRUE,"Flujo";#N/A,#N/A,TRUE,"Var_Ebit";#N/A,#N/A,TRUE,"Noa";#N/A,#N/A,TRUE,"Var_Noa"}</definedName>
    <definedName name="smmssaa" hidden="1">{#N/A,#N/A,TRUE,"Cond";#N/A,#N/A,TRUE,"Bce_hold";#N/A,#N/A,TRUE,"eerr_hold";#N/A,#N/A,TRUE,"eerr_prod";#N/A,#N/A,TRUE,"eerr_tipogtos";#N/A,#N/A,TRUE,"Flujo";#N/A,#N/A,TRUE,"Var_Ebit";#N/A,#N/A,TRUE,"Noa";#N/A,#N/A,TRUE,"Var_Noa"}</definedName>
    <definedName name="sñalskd" localSheetId="4" hidden="1">{#N/A,#N/A,TRUE,"TAPA ";"INDICE_CLP",#N/A,TRUE,"Indice";#N/A,#N/A,TRUE,"Cond";#N/A,#N/A,TRUE,"Bce_hold";#N/A,#N/A,TRUE,"eerr_hold";#N/A,#N/A,TRUE,"eerr_prod";#N/A,#N/A,TRUE,"eerr_tipogtos";#N/A,#N/A,TRUE,"Flujo";#N/A,#N/A,TRUE,"Var_Ebit";#N/A,#N/A,TRUE,"Noa";#N/A,#N/A,TRUE,"Var_Noa"}</definedName>
    <definedName name="sñalskd" localSheetId="3" hidden="1">{#N/A,#N/A,TRUE,"TAPA ";"INDICE_CLP",#N/A,TRUE,"Indice";#N/A,#N/A,TRUE,"Cond";#N/A,#N/A,TRUE,"Bce_hold";#N/A,#N/A,TRUE,"eerr_hold";#N/A,#N/A,TRUE,"eerr_prod";#N/A,#N/A,TRUE,"eerr_tipogtos";#N/A,#N/A,TRUE,"Flujo";#N/A,#N/A,TRUE,"Var_Ebit";#N/A,#N/A,TRUE,"Noa";#N/A,#N/A,TRUE,"Var_Noa"}</definedName>
    <definedName name="sñalskd" localSheetId="2" hidden="1">{#N/A,#N/A,TRUE,"TAPA ";"INDICE_CLP",#N/A,TRUE,"Indice";#N/A,#N/A,TRUE,"Cond";#N/A,#N/A,TRUE,"Bce_hold";#N/A,#N/A,TRUE,"eerr_hold";#N/A,#N/A,TRUE,"eerr_prod";#N/A,#N/A,TRUE,"eerr_tipogtos";#N/A,#N/A,TRUE,"Flujo";#N/A,#N/A,TRUE,"Var_Ebit";#N/A,#N/A,TRUE,"Noa";#N/A,#N/A,TRUE,"Var_Noa"}</definedName>
    <definedName name="sñalskd" hidden="1">{#N/A,#N/A,TRUE,"TAPA ";"INDICE_CLP",#N/A,TRUE,"Indice";#N/A,#N/A,TRUE,"Cond";#N/A,#N/A,TRUE,"Bce_hold";#N/A,#N/A,TRUE,"eerr_hold";#N/A,#N/A,TRUE,"eerr_prod";#N/A,#N/A,TRUE,"eerr_tipogtos";#N/A,#N/A,TRUE,"Flujo";#N/A,#N/A,TRUE,"Var_Ebit";#N/A,#N/A,TRUE,"Noa";#N/A,#N/A,TRUE,"Var_Noa"}</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mp" hidden="1">#NULL!</definedName>
    <definedName name="solver_tol" hidden="1">0.05</definedName>
    <definedName name="solver_typ" hidden="1">1</definedName>
    <definedName name="solver_val" hidden="1">999999999</definedName>
    <definedName name="SpecialPrice" localSheetId="4" hidden="1">#REF!</definedName>
    <definedName name="SpecialPrice" localSheetId="3" hidden="1">#REF!</definedName>
    <definedName name="SpecialPrice" localSheetId="2" hidden="1">#REF!</definedName>
    <definedName name="SpecialPrice" hidden="1">#REF!</definedName>
    <definedName name="ssaaaaaa" localSheetId="4" hidden="1">{"INDICE_USD",#N/A,FALSE,"Indice";#N/A,#N/A,FALSE,"Condusd";#N/A,#N/A,FALSE,"Bce_holdusd";#N/A,#N/A,FALSE,"eerr_holdusd";#N/A,#N/A,FALSE,"eerr_produsd";#N/A,#N/A,FALSE,"eerr_tipogtosusd";#N/A,#N/A,FALSE,"Flujousd";#N/A,#N/A,FALSE,"Var_Ebitusd";#N/A,#N/A,FALSE,"Noausd";#N/A,#N/A,FALSE,"Var_Noausd"}</definedName>
    <definedName name="ssaaaaaa" localSheetId="3" hidden="1">{"INDICE_USD",#N/A,FALSE,"Indice";#N/A,#N/A,FALSE,"Condusd";#N/A,#N/A,FALSE,"Bce_holdusd";#N/A,#N/A,FALSE,"eerr_holdusd";#N/A,#N/A,FALSE,"eerr_produsd";#N/A,#N/A,FALSE,"eerr_tipogtosusd";#N/A,#N/A,FALSE,"Flujousd";#N/A,#N/A,FALSE,"Var_Ebitusd";#N/A,#N/A,FALSE,"Noausd";#N/A,#N/A,FALSE,"Var_Noausd"}</definedName>
    <definedName name="ssaaaaaa" localSheetId="2" hidden="1">{"INDICE_USD",#N/A,FALSE,"Indice";#N/A,#N/A,FALSE,"Condusd";#N/A,#N/A,FALSE,"Bce_holdusd";#N/A,#N/A,FALSE,"eerr_holdusd";#N/A,#N/A,FALSE,"eerr_produsd";#N/A,#N/A,FALSE,"eerr_tipogtosusd";#N/A,#N/A,FALSE,"Flujousd";#N/A,#N/A,FALSE,"Var_Ebitusd";#N/A,#N/A,FALSE,"Noausd";#N/A,#N/A,FALSE,"Var_Noausd"}</definedName>
    <definedName name="ssaaaaaa" hidden="1">{"INDICE_USD",#N/A,FALSE,"Indice";#N/A,#N/A,FALSE,"Condusd";#N/A,#N/A,FALSE,"Bce_holdusd";#N/A,#N/A,FALSE,"eerr_holdusd";#N/A,#N/A,FALSE,"eerr_produsd";#N/A,#N/A,FALSE,"eerr_tipogtosusd";#N/A,#N/A,FALSE,"Flujousd";#N/A,#N/A,FALSE,"Var_Ebitusd";#N/A,#N/A,FALSE,"Noausd";#N/A,#N/A,FALSE,"Var_Noausd"}</definedName>
    <definedName name="ssnwhs" localSheetId="4" hidden="1">{#N/A,#N/A,TRUE,"TAPA ";"INDICE_CLP",#N/A,TRUE,"Indice";#N/A,#N/A,TRUE,"Cond";#N/A,#N/A,TRUE,"Bce_hold";#N/A,#N/A,TRUE,"eerr_hold";#N/A,#N/A,TRUE,"eerr_prod";#N/A,#N/A,TRUE,"eerr_tipogtos";#N/A,#N/A,TRUE,"Flujo";#N/A,#N/A,TRUE,"Var_Ebit";#N/A,#N/A,TRUE,"Noa";#N/A,#N/A,TRUE,"Var_Noa"}</definedName>
    <definedName name="ssnwhs" localSheetId="3" hidden="1">{#N/A,#N/A,TRUE,"TAPA ";"INDICE_CLP",#N/A,TRUE,"Indice";#N/A,#N/A,TRUE,"Cond";#N/A,#N/A,TRUE,"Bce_hold";#N/A,#N/A,TRUE,"eerr_hold";#N/A,#N/A,TRUE,"eerr_prod";#N/A,#N/A,TRUE,"eerr_tipogtos";#N/A,#N/A,TRUE,"Flujo";#N/A,#N/A,TRUE,"Var_Ebit";#N/A,#N/A,TRUE,"Noa";#N/A,#N/A,TRUE,"Var_Noa"}</definedName>
    <definedName name="ssnwhs" localSheetId="2" hidden="1">{#N/A,#N/A,TRUE,"TAPA ";"INDICE_CLP",#N/A,TRUE,"Indice";#N/A,#N/A,TRUE,"Cond";#N/A,#N/A,TRUE,"Bce_hold";#N/A,#N/A,TRUE,"eerr_hold";#N/A,#N/A,TRUE,"eerr_prod";#N/A,#N/A,TRUE,"eerr_tipogtos";#N/A,#N/A,TRUE,"Flujo";#N/A,#N/A,TRUE,"Var_Ebit";#N/A,#N/A,TRUE,"Noa";#N/A,#N/A,TRUE,"Var_Noa"}</definedName>
    <definedName name="ssnwhs" hidden="1">{#N/A,#N/A,TRUE,"TAPA ";"INDICE_CLP",#N/A,TRUE,"Indice";#N/A,#N/A,TRUE,"Cond";#N/A,#N/A,TRUE,"Bce_hold";#N/A,#N/A,TRUE,"eerr_hold";#N/A,#N/A,TRUE,"eerr_prod";#N/A,#N/A,TRUE,"eerr_tipogtos";#N/A,#N/A,TRUE,"Flujo";#N/A,#N/A,TRUE,"Var_Ebit";#N/A,#N/A,TRUE,"Noa";#N/A,#N/A,TRUE,"Var_Noa"}</definedName>
    <definedName name="SSS" localSheetId="4" hidden="1">#REF!</definedName>
    <definedName name="SSS" localSheetId="3" hidden="1">#REF!</definedName>
    <definedName name="SSS" localSheetId="2" hidden="1">#REF!</definedName>
    <definedName name="SSS" hidden="1">#REF!</definedName>
    <definedName name="sssnna" localSheetId="4" hidden="1">{"INDICE_USD",#N/A,FALSE,"Indice";#N/A,#N/A,FALSE,"Condusd";#N/A,#N/A,FALSE,"Bce_holdusd";#N/A,#N/A,FALSE,"eerr_holdusd";#N/A,#N/A,FALSE,"eerr_produsd";#N/A,#N/A,FALSE,"eerr_tipogtosusd";#N/A,#N/A,FALSE,"Flujousd";#N/A,#N/A,FALSE,"Var_Ebitusd";#N/A,#N/A,FALSE,"Noausd";#N/A,#N/A,FALSE,"Var_Noausd"}</definedName>
    <definedName name="sssnna" localSheetId="3" hidden="1">{"INDICE_USD",#N/A,FALSE,"Indice";#N/A,#N/A,FALSE,"Condusd";#N/A,#N/A,FALSE,"Bce_holdusd";#N/A,#N/A,FALSE,"eerr_holdusd";#N/A,#N/A,FALSE,"eerr_produsd";#N/A,#N/A,FALSE,"eerr_tipogtosusd";#N/A,#N/A,FALSE,"Flujousd";#N/A,#N/A,FALSE,"Var_Ebitusd";#N/A,#N/A,FALSE,"Noausd";#N/A,#N/A,FALSE,"Var_Noausd"}</definedName>
    <definedName name="sssnna" localSheetId="2" hidden="1">{"INDICE_USD",#N/A,FALSE,"Indice";#N/A,#N/A,FALSE,"Condusd";#N/A,#N/A,FALSE,"Bce_holdusd";#N/A,#N/A,FALSE,"eerr_holdusd";#N/A,#N/A,FALSE,"eerr_produsd";#N/A,#N/A,FALSE,"eerr_tipogtosusd";#N/A,#N/A,FALSE,"Flujousd";#N/A,#N/A,FALSE,"Var_Ebitusd";#N/A,#N/A,FALSE,"Noausd";#N/A,#N/A,FALSE,"Var_Noausd"}</definedName>
    <definedName name="sssnna" hidden="1">{"INDICE_USD",#N/A,FALSE,"Indice";#N/A,#N/A,FALSE,"Condusd";#N/A,#N/A,FALSE,"Bce_holdusd";#N/A,#N/A,FALSE,"eerr_holdusd";#N/A,#N/A,FALSE,"eerr_produsd";#N/A,#N/A,FALSE,"eerr_tipogtosusd";#N/A,#N/A,FALSE,"Flujousd";#N/A,#N/A,FALSE,"Var_Ebitusd";#N/A,#N/A,FALSE,"Noausd";#N/A,#N/A,FALSE,"Var_Noausd"}</definedName>
    <definedName name="ssss" localSheetId="4" hidden="1">{#N/A,#N/A,TRUE,"TAPA ";"INDICE_CLP",#N/A,TRUE,"Indice";#N/A,#N/A,TRUE,"Cond";#N/A,#N/A,TRUE,"Bce_hold";#N/A,#N/A,TRUE,"eerr_hold";#N/A,#N/A,TRUE,"eerr_prod";#N/A,#N/A,TRUE,"eerr_tipogtos";#N/A,#N/A,TRUE,"Flujo";#N/A,#N/A,TRUE,"Var_Ebit";#N/A,#N/A,TRUE,"Noa";#N/A,#N/A,TRUE,"Var_Noa"}</definedName>
    <definedName name="ssss" localSheetId="3" hidden="1">{#N/A,#N/A,TRUE,"TAPA ";"INDICE_CLP",#N/A,TRUE,"Indice";#N/A,#N/A,TRUE,"Cond";#N/A,#N/A,TRUE,"Bce_hold";#N/A,#N/A,TRUE,"eerr_hold";#N/A,#N/A,TRUE,"eerr_prod";#N/A,#N/A,TRUE,"eerr_tipogtos";#N/A,#N/A,TRUE,"Flujo";#N/A,#N/A,TRUE,"Var_Ebit";#N/A,#N/A,TRUE,"Noa";#N/A,#N/A,TRUE,"Var_Noa"}</definedName>
    <definedName name="ssss" localSheetId="2" hidden="1">{#N/A,#N/A,TRUE,"TAPA ";"INDICE_CLP",#N/A,TRUE,"Indice";#N/A,#N/A,TRUE,"Cond";#N/A,#N/A,TRUE,"Bce_hold";#N/A,#N/A,TRUE,"eerr_hold";#N/A,#N/A,TRUE,"eerr_prod";#N/A,#N/A,TRUE,"eerr_tipogtos";#N/A,#N/A,TRUE,"Flujo";#N/A,#N/A,TRUE,"Var_Ebit";#N/A,#N/A,TRUE,"Noa";#N/A,#N/A,TRUE,"Var_Noa"}</definedName>
    <definedName name="ssss" hidden="1">{#N/A,#N/A,TRUE,"TAPA ";"INDICE_CLP",#N/A,TRUE,"Indice";#N/A,#N/A,TRUE,"Cond";#N/A,#N/A,TRUE,"Bce_hold";#N/A,#N/A,TRUE,"eerr_hold";#N/A,#N/A,TRUE,"eerr_prod";#N/A,#N/A,TRUE,"eerr_tipogtos";#N/A,#N/A,TRUE,"Flujo";#N/A,#N/A,TRUE,"Var_Ebit";#N/A,#N/A,TRUE,"Noa";#N/A,#N/A,TRUE,"Var_Noa"}</definedName>
    <definedName name="SSSSDSTYU" localSheetId="4" hidden="1">{"PYGT",#N/A,FALSE,"PYG";"ACTIT",#N/A,FALSE,"BCE_GRAL-ACTIVO";"PASIT",#N/A,FALSE,"BCE_GRAL-PASIVO-PATRIM";"CAJAT",#N/A,FALSE,"CAJA"}</definedName>
    <definedName name="SSSSDSTYU" localSheetId="3" hidden="1">{"PYGT",#N/A,FALSE,"PYG";"ACTIT",#N/A,FALSE,"BCE_GRAL-ACTIVO";"PASIT",#N/A,FALSE,"BCE_GRAL-PASIVO-PATRIM";"CAJAT",#N/A,FALSE,"CAJA"}</definedName>
    <definedName name="SSSSDSTYU" localSheetId="2" hidden="1">{"PYGT",#N/A,FALSE,"PYG";"ACTIT",#N/A,FALSE,"BCE_GRAL-ACTIVO";"PASIT",#N/A,FALSE,"BCE_GRAL-PASIVO-PATRIM";"CAJAT",#N/A,FALSE,"CAJA"}</definedName>
    <definedName name="SSSSDSTYU" hidden="1">{"PYGT",#N/A,FALSE,"PYG";"ACTIT",#N/A,FALSE,"BCE_GRAL-ACTIVO";"PASIT",#N/A,FALSE,"BCE_GRAL-PASIVO-PATRIM";"CAJAT",#N/A,FALSE,"CAJA"}</definedName>
    <definedName name="sssss" localSheetId="4" hidden="1">{"INDICE_USD",#N/A,FALSE,"Indice";#N/A,#N/A,FALSE,"Condusd";#N/A,#N/A,FALSE,"Bce_holdusd";#N/A,#N/A,FALSE,"eerr_holdusd";#N/A,#N/A,FALSE,"eerr_produsd";#N/A,#N/A,FALSE,"eerr_tipogtosusd";#N/A,#N/A,FALSE,"Flujousd";#N/A,#N/A,FALSE,"Var_Ebitusd";#N/A,#N/A,FALSE,"Noausd";#N/A,#N/A,FALSE,"Var_Noausd"}</definedName>
    <definedName name="sssss" localSheetId="3" hidden="1">{"INDICE_USD",#N/A,FALSE,"Indice";#N/A,#N/A,FALSE,"Condusd";#N/A,#N/A,FALSE,"Bce_holdusd";#N/A,#N/A,FALSE,"eerr_holdusd";#N/A,#N/A,FALSE,"eerr_produsd";#N/A,#N/A,FALSE,"eerr_tipogtosusd";#N/A,#N/A,FALSE,"Flujousd";#N/A,#N/A,FALSE,"Var_Ebitusd";#N/A,#N/A,FALSE,"Noausd";#N/A,#N/A,FALSE,"Var_Noausd"}</definedName>
    <definedName name="sssss" localSheetId="2" hidden="1">{"INDICE_USD",#N/A,FALSE,"Indice";#N/A,#N/A,FALSE,"Condusd";#N/A,#N/A,FALSE,"Bce_holdusd";#N/A,#N/A,FALSE,"eerr_holdusd";#N/A,#N/A,FALSE,"eerr_produsd";#N/A,#N/A,FALSE,"eerr_tipogtosusd";#N/A,#N/A,FALSE,"Flujousd";#N/A,#N/A,FALSE,"Var_Ebitusd";#N/A,#N/A,FALSE,"Noausd";#N/A,#N/A,FALSE,"Var_Noausd"}</definedName>
    <definedName name="sssss" hidden="1">{"INDICE_USD",#N/A,FALSE,"Indice";#N/A,#N/A,FALSE,"Condusd";#N/A,#N/A,FALSE,"Bce_holdusd";#N/A,#N/A,FALSE,"eerr_holdusd";#N/A,#N/A,FALSE,"eerr_produsd";#N/A,#N/A,FALSE,"eerr_tipogtosusd";#N/A,#N/A,FALSE,"Flujousd";#N/A,#N/A,FALSE,"Var_Ebitusd";#N/A,#N/A,FALSE,"Noausd";#N/A,#N/A,FALSE,"Var_Noausd"}</definedName>
    <definedName name="sssssssssss" localSheetId="4" hidden="1">{#N/A,#N/A,FALSE,"GRAFICO";#N/A,#N/A,FALSE,"CAJA (2)";#N/A,#N/A,FALSE,"TERCEROS-PROMEDIO";#N/A,#N/A,FALSE,"CAJA";#N/A,#N/A,FALSE,"INGRESOS1995-2003";#N/A,#N/A,FALSE,"GASTOS1995-2003"}</definedName>
    <definedName name="sssssssssss" localSheetId="3" hidden="1">{#N/A,#N/A,FALSE,"GRAFICO";#N/A,#N/A,FALSE,"CAJA (2)";#N/A,#N/A,FALSE,"TERCEROS-PROMEDIO";#N/A,#N/A,FALSE,"CAJA";#N/A,#N/A,FALSE,"INGRESOS1995-2003";#N/A,#N/A,FALSE,"GASTOS1995-2003"}</definedName>
    <definedName name="sssssssssss" localSheetId="2" hidden="1">{#N/A,#N/A,FALSE,"GRAFICO";#N/A,#N/A,FALSE,"CAJA (2)";#N/A,#N/A,FALSE,"TERCEROS-PROMEDIO";#N/A,#N/A,FALSE,"CAJA";#N/A,#N/A,FALSE,"INGRESOS1995-2003";#N/A,#N/A,FALSE,"GASTOS1995-2003"}</definedName>
    <definedName name="sssssssssss" hidden="1">{#N/A,#N/A,FALSE,"GRAFICO";#N/A,#N/A,FALSE,"CAJA (2)";#N/A,#N/A,FALSE,"TERCEROS-PROMEDIO";#N/A,#N/A,FALSE,"CAJA";#N/A,#N/A,FALSE,"INGRESOS1995-2003";#N/A,#N/A,FALSE,"GASTOS1995-2003"}</definedName>
    <definedName name="STELLA" hidden="1">{#N/A,#N/A,FALSE,"Aging Summary";#N/A,#N/A,FALSE,"Ratio Analysis";#N/A,#N/A,FALSE,"Test 120 Day Accts";#N/A,#N/A,FALSE,"Tickmarks"}</definedName>
    <definedName name="t" localSheetId="4" hidden="1">{"'S. C. B.'!$E$207"}</definedName>
    <definedName name="t" localSheetId="3" hidden="1">{"'S. C. B.'!$E$207"}</definedName>
    <definedName name="t" localSheetId="2" hidden="1">{"'S. C. B.'!$E$207"}</definedName>
    <definedName name="t" hidden="1">{"'S. C. B.'!$E$207"}</definedName>
    <definedName name="TablaHistorico" hidden="1">#REF!</definedName>
    <definedName name="tbl_ProdInfo" localSheetId="4" hidden="1">#REF!</definedName>
    <definedName name="tbl_ProdInfo" localSheetId="3" hidden="1">#REF!</definedName>
    <definedName name="tbl_ProdInfo" localSheetId="2" hidden="1">#REF!</definedName>
    <definedName name="tbl_ProdInfo" hidden="1">#REF!</definedName>
    <definedName name="TC" localSheetId="4" hidden="1">{#N/A,#N/A,FALSE,"GRAFICO";#N/A,#N/A,FALSE,"CAJA (2)";#N/A,#N/A,FALSE,"TERCEROS-PROMEDIO";#N/A,#N/A,FALSE,"CAJA";#N/A,#N/A,FALSE,"INGRESOS1995-2003";#N/A,#N/A,FALSE,"GASTOS1995-2003"}</definedName>
    <definedName name="TC" localSheetId="3" hidden="1">{#N/A,#N/A,FALSE,"GRAFICO";#N/A,#N/A,FALSE,"CAJA (2)";#N/A,#N/A,FALSE,"TERCEROS-PROMEDIO";#N/A,#N/A,FALSE,"CAJA";#N/A,#N/A,FALSE,"INGRESOS1995-2003";#N/A,#N/A,FALSE,"GASTOS1995-2003"}</definedName>
    <definedName name="TC" localSheetId="2" hidden="1">{#N/A,#N/A,FALSE,"GRAFICO";#N/A,#N/A,FALSE,"CAJA (2)";#N/A,#N/A,FALSE,"TERCEROS-PROMEDIO";#N/A,#N/A,FALSE,"CAJA";#N/A,#N/A,FALSE,"INGRESOS1995-2003";#N/A,#N/A,FALSE,"GASTOS1995-2003"}</definedName>
    <definedName name="TC" hidden="1">{#N/A,#N/A,FALSE,"GRAFICO";#N/A,#N/A,FALSE,"CAJA (2)";#N/A,#N/A,FALSE,"TERCEROS-PROMEDIO";#N/A,#N/A,FALSE,"CAJA";#N/A,#N/A,FALSE,"INGRESOS1995-2003";#N/A,#N/A,FALSE,"GASTOS1995-2003"}</definedName>
    <definedName name="TESV" localSheetId="4" hidden="1">{"'S. C. B.'!$E$207"}</definedName>
    <definedName name="TESV" localSheetId="3" hidden="1">{"'S. C. B.'!$E$207"}</definedName>
    <definedName name="TESV" localSheetId="2" hidden="1">{"'S. C. B.'!$E$207"}</definedName>
    <definedName name="TESV" hidden="1">{"'S. C. B.'!$E$207"}</definedName>
    <definedName name="TextRefCopyRangeCount" hidden="1">2</definedName>
    <definedName name="tid" localSheetId="4" hidden="1">{"'S. C. B.'!$E$207"}</definedName>
    <definedName name="tid" localSheetId="3" hidden="1">{"'S. C. B.'!$E$207"}</definedName>
    <definedName name="tid" localSheetId="2" hidden="1">{"'S. C. B.'!$E$207"}</definedName>
    <definedName name="tid" hidden="1">{"'S. C. B.'!$E$207"}</definedName>
    <definedName name="TONELADA" localSheetId="4" hidden="1">{#N/A,#N/A,FALSE,"balance";#N/A,#N/A,FALSE,"PYG"}</definedName>
    <definedName name="TONELADA" localSheetId="3" hidden="1">{#N/A,#N/A,FALSE,"balance";#N/A,#N/A,FALSE,"PYG"}</definedName>
    <definedName name="TONELADA" localSheetId="2" hidden="1">{#N/A,#N/A,FALSE,"balance";#N/A,#N/A,FALSE,"PYG"}</definedName>
    <definedName name="TONELADA" hidden="1">{#N/A,#N/A,FALSE,"balance";#N/A,#N/A,FALSE,"PYG"}</definedName>
    <definedName name="TONELADAS" localSheetId="4" hidden="1">{#N/A,#N/A,FALSE,"balance";#N/A,#N/A,FALSE,"PYG"}</definedName>
    <definedName name="TONELADAS" localSheetId="3" hidden="1">{#N/A,#N/A,FALSE,"balance";#N/A,#N/A,FALSE,"PYG"}</definedName>
    <definedName name="TONELADAS" localSheetId="2" hidden="1">{#N/A,#N/A,FALSE,"balance";#N/A,#N/A,FALSE,"PYG"}</definedName>
    <definedName name="TONELADAS" hidden="1">{#N/A,#N/A,FALSE,"balance";#N/A,#N/A,FALSE,"PYG"}</definedName>
    <definedName name="TORO" hidden="1">{"PYGT",#N/A,FALSE,"PYG";"ACTIT",#N/A,FALSE,"BCE_GRAL-ACTIVO";"PASIT",#N/A,FALSE,"BCE_GRAL-PASIVO-PATRIM";"CAJAT",#N/A,FALSE,"CAJA"}</definedName>
    <definedName name="tr" hidden="1">{#N/A,#N/A,FALSE,"Aging Summary";#N/A,#N/A,FALSE,"Ratio Analysis";#N/A,#N/A,FALSE,"Test 120 Day Accts";#N/A,#N/A,FALSE,"Tickmarks"}</definedName>
    <definedName name="treeList" hidden="1">"10000000000000000000000000000000000000000000000000000000000000000000000000000000000000000000000000000000000000000000000000000000000000000000000000000000000000000000000000000000000000000000000000000000"</definedName>
    <definedName name="TRIO" hidden="1">{#N/A,#N/A,FALSE,"GRAFICO";#N/A,#N/A,FALSE,"CAJA (2)";#N/A,#N/A,FALSE,"TERCEROS-PROMEDIO";#N/A,#N/A,FALSE,"CAJA";#N/A,#N/A,FALSE,"INGRESOS1995-2003";#N/A,#N/A,FALSE,"GASTOS1995-2003"}</definedName>
    <definedName name="Triunfo" localSheetId="6" hidden="1">{#N/A,#N/A,FALSE,"balance";#N/A,#N/A,FALSE,"PYG"}</definedName>
    <definedName name="Triunfo" localSheetId="1" hidden="1">{#N/A,#N/A,FALSE,"balance";#N/A,#N/A,FALSE,"PYG"}</definedName>
    <definedName name="Triunfo" localSheetId="4" hidden="1">{#N/A,#N/A,FALSE,"balance";#N/A,#N/A,FALSE,"PYG"}</definedName>
    <definedName name="Triunfo" localSheetId="0" hidden="1">{#N/A,#N/A,FALSE,"balance";#N/A,#N/A,FALSE,"PYG"}</definedName>
    <definedName name="Triunfo" localSheetId="3" hidden="1">{#N/A,#N/A,FALSE,"balance";#N/A,#N/A,FALSE,"PYG"}</definedName>
    <definedName name="Triunfo" localSheetId="2" hidden="1">{#N/A,#N/A,FALSE,"balance";#N/A,#N/A,FALSE,"PYG"}</definedName>
    <definedName name="Triunfo" localSheetId="5" hidden="1">{#N/A,#N/A,FALSE,"balance";#N/A,#N/A,FALSE,"PYG"}</definedName>
    <definedName name="Triunfo" localSheetId="7" hidden="1">{#N/A,#N/A,FALSE,"balance";#N/A,#N/A,FALSE,"PYG"}</definedName>
    <definedName name="Triunfo" hidden="1">{#N/A,#N/A,FALSE,"balance";#N/A,#N/A,FALSE,"PYG"}</definedName>
    <definedName name="TTT" localSheetId="4" hidden="1">{"KWHTONTOTAL",#N/A,FALSE,"KWHTON"}</definedName>
    <definedName name="TTT" localSheetId="3" hidden="1">{"KWHTONTOTAL",#N/A,FALSE,"KWHTON"}</definedName>
    <definedName name="TTT" localSheetId="2" hidden="1">{"KWHTONTOTAL",#N/A,FALSE,"KWHTON"}</definedName>
    <definedName name="TTT" hidden="1">{"KWHTONTOTAL",#N/A,FALSE,"KWHTON"}</definedName>
    <definedName name="tttttttt" localSheetId="4" hidden="1">{"PYGT",#N/A,FALSE,"PYG";"ACTIT",#N/A,FALSE,"BCE_GRAL-ACTIVO";"PASIT",#N/A,FALSE,"BCE_GRAL-PASIVO-PATRIM";"CAJAT",#N/A,FALSE,"CAJA"}</definedName>
    <definedName name="tttttttt" localSheetId="3" hidden="1">{"PYGT",#N/A,FALSE,"PYG";"ACTIT",#N/A,FALSE,"BCE_GRAL-ACTIVO";"PASIT",#N/A,FALSE,"BCE_GRAL-PASIVO-PATRIM";"CAJAT",#N/A,FALSE,"CAJA"}</definedName>
    <definedName name="tttttttt" localSheetId="2" hidden="1">{"PYGT",#N/A,FALSE,"PYG";"ACTIT",#N/A,FALSE,"BCE_GRAL-ACTIVO";"PASIT",#N/A,FALSE,"BCE_GRAL-PASIVO-PATRIM";"CAJAT",#N/A,FALSE,"CAJA"}</definedName>
    <definedName name="tttttttt" hidden="1">{"PYGT",#N/A,FALSE,"PYG";"ACTIT",#N/A,FALSE,"BCE_GRAL-ACTIVO";"PASIT",#N/A,FALSE,"BCE_GRAL-PASIVO-PATRIM";"CAJAT",#N/A,FALSE,"CAJA"}</definedName>
    <definedName name="ttttttttttt" localSheetId="4" hidden="1">{"PYGT",#N/A,FALSE,"PYG";"ACTIT",#N/A,FALSE,"BCE_GRAL-ACTIVO";"PASIT",#N/A,FALSE,"BCE_GRAL-PASIVO-PATRIM";"CAJAT",#N/A,FALSE,"CAJA"}</definedName>
    <definedName name="ttttttttttt" localSheetId="3" hidden="1">{"PYGT",#N/A,FALSE,"PYG";"ACTIT",#N/A,FALSE,"BCE_GRAL-ACTIVO";"PASIT",#N/A,FALSE,"BCE_GRAL-PASIVO-PATRIM";"CAJAT",#N/A,FALSE,"CAJA"}</definedName>
    <definedName name="ttttttttttt" localSheetId="2" hidden="1">{"PYGT",#N/A,FALSE,"PYG";"ACTIT",#N/A,FALSE,"BCE_GRAL-ACTIVO";"PASIT",#N/A,FALSE,"BCE_GRAL-PASIVO-PATRIM";"CAJAT",#N/A,FALSE,"CAJA"}</definedName>
    <definedName name="ttttttttttt" hidden="1">{"PYGT",#N/A,FALSE,"PYG";"ACTIT",#N/A,FALSE,"BCE_GRAL-ACTIVO";"PASIT",#N/A,FALSE,"BCE_GRAL-PASIVO-PATRIM";"CAJAT",#N/A,FALSE,"CAJA"}</definedName>
    <definedName name="ttttttttttttt" localSheetId="4" hidden="1">{"PYGT",#N/A,FALSE,"PYG";"ACTIT",#N/A,FALSE,"BCE_GRAL-ACTIVO";"PASIT",#N/A,FALSE,"BCE_GRAL-PASIVO-PATRIM";"CAJAT",#N/A,FALSE,"CAJA"}</definedName>
    <definedName name="ttttttttttttt" localSheetId="3" hidden="1">{"PYGT",#N/A,FALSE,"PYG";"ACTIT",#N/A,FALSE,"BCE_GRAL-ACTIVO";"PASIT",#N/A,FALSE,"BCE_GRAL-PASIVO-PATRIM";"CAJAT",#N/A,FALSE,"CAJA"}</definedName>
    <definedName name="ttttttttttttt" localSheetId="2" hidden="1">{"PYGT",#N/A,FALSE,"PYG";"ACTIT",#N/A,FALSE,"BCE_GRAL-ACTIVO";"PASIT",#N/A,FALSE,"BCE_GRAL-PASIVO-PATRIM";"CAJAT",#N/A,FALSE,"CAJA"}</definedName>
    <definedName name="ttttttttttttt" hidden="1">{"PYGT",#N/A,FALSE,"PYG";"ACTIT",#N/A,FALSE,"BCE_GRAL-ACTIVO";"PASIT",#N/A,FALSE,"BCE_GRAL-PASIVO-PATRIM";"CAJAT",#N/A,FALSE,"CAJA"}</definedName>
    <definedName name="tyuio" hidden="1">{"PYGS",#N/A,FALSE,"PYG";"ACTIS",#N/A,FALSE,"BCE_GRAL-ACTIVO";"PASIS",#N/A,FALSE,"BCE_GRAL-PASIVO-PATRIM";"CAJAS",#N/A,FALSE,"CAJA"}</definedName>
    <definedName name="TYUT" hidden="1">{#N/A,#N/A,FALSE,"Aging Summary";#N/A,#N/A,FALSE,"Ratio Analysis";#N/A,#N/A,FALSE,"Test 120 Day Accts";#N/A,#N/A,FALSE,"Tickmarks"}</definedName>
    <definedName name="u" localSheetId="4" hidden="1">{#N/A,#N/A,TRUE,"Cond";#N/A,#N/A,TRUE,"Bce_hold";#N/A,#N/A,TRUE,"eerr_hold";#N/A,#N/A,TRUE,"eerr_prod";#N/A,#N/A,TRUE,"eerr_tipogtos";#N/A,#N/A,TRUE,"Flujo";#N/A,#N/A,TRUE,"Var_Ebit";#N/A,#N/A,TRUE,"Noa";#N/A,#N/A,TRUE,"Var_Noa"}</definedName>
    <definedName name="u" localSheetId="3" hidden="1">{#N/A,#N/A,TRUE,"Cond";#N/A,#N/A,TRUE,"Bce_hold";#N/A,#N/A,TRUE,"eerr_hold";#N/A,#N/A,TRUE,"eerr_prod";#N/A,#N/A,TRUE,"eerr_tipogtos";#N/A,#N/A,TRUE,"Flujo";#N/A,#N/A,TRUE,"Var_Ebit";#N/A,#N/A,TRUE,"Noa";#N/A,#N/A,TRUE,"Var_Noa"}</definedName>
    <definedName name="u" localSheetId="2" hidden="1">{#N/A,#N/A,TRUE,"Cond";#N/A,#N/A,TRUE,"Bce_hold";#N/A,#N/A,TRUE,"eerr_hold";#N/A,#N/A,TRUE,"eerr_prod";#N/A,#N/A,TRUE,"eerr_tipogtos";#N/A,#N/A,TRUE,"Flujo";#N/A,#N/A,TRUE,"Var_Ebit";#N/A,#N/A,TRUE,"Noa";#N/A,#N/A,TRUE,"Var_Noa"}</definedName>
    <definedName name="u" hidden="1">{#N/A,#N/A,TRUE,"Cond";#N/A,#N/A,TRUE,"Bce_hold";#N/A,#N/A,TRUE,"eerr_hold";#N/A,#N/A,TRUE,"eerr_prod";#N/A,#N/A,TRUE,"eerr_tipogtos";#N/A,#N/A,TRUE,"Flujo";#N/A,#N/A,TRUE,"Var_Ebit";#N/A,#N/A,TRUE,"Noa";#N/A,#N/A,TRUE,"Var_Noa"}</definedName>
    <definedName name="Ua" localSheetId="4" hidden="1">{#N/A,#N/A,FALSE,"balance";#N/A,#N/A,FALSE,"PYG"}</definedName>
    <definedName name="Ua" localSheetId="3" hidden="1">{#N/A,#N/A,FALSE,"balance";#N/A,#N/A,FALSE,"PYG"}</definedName>
    <definedName name="Ua" localSheetId="2" hidden="1">{#N/A,#N/A,FALSE,"balance";#N/A,#N/A,FALSE,"PYG"}</definedName>
    <definedName name="Ua" hidden="1">{#N/A,#N/A,FALSE,"balance";#N/A,#N/A,FALSE,"PYG"}</definedName>
    <definedName name="uf" hidden="1">{#N/A,#N/A,FALSE,"Aging Summary";#N/A,#N/A,FALSE,"Ratio Analysis";#N/A,#N/A,FALSE,"Test 120 Day Accts";#N/A,#N/A,FALSE,"Tickmarks"}</definedName>
    <definedName name="ui" localSheetId="4" hidden="1">{#N/A,#N/A,TRUE,"Cond";#N/A,#N/A,TRUE,"Bce_hold";#N/A,#N/A,TRUE,"eerr_hold";#N/A,#N/A,TRUE,"eerr_prod";#N/A,#N/A,TRUE,"eerr_tipogtos";#N/A,#N/A,TRUE,"Flujo";#N/A,#N/A,TRUE,"Var_Ebit";#N/A,#N/A,TRUE,"Noa";#N/A,#N/A,TRUE,"Var_Noa"}</definedName>
    <definedName name="ui" localSheetId="3" hidden="1">{#N/A,#N/A,TRUE,"Cond";#N/A,#N/A,TRUE,"Bce_hold";#N/A,#N/A,TRUE,"eerr_hold";#N/A,#N/A,TRUE,"eerr_prod";#N/A,#N/A,TRUE,"eerr_tipogtos";#N/A,#N/A,TRUE,"Flujo";#N/A,#N/A,TRUE,"Var_Ebit";#N/A,#N/A,TRUE,"Noa";#N/A,#N/A,TRUE,"Var_Noa"}</definedName>
    <definedName name="ui" localSheetId="2" hidden="1">{#N/A,#N/A,TRUE,"Cond";#N/A,#N/A,TRUE,"Bce_hold";#N/A,#N/A,TRUE,"eerr_hold";#N/A,#N/A,TRUE,"eerr_prod";#N/A,#N/A,TRUE,"eerr_tipogtos";#N/A,#N/A,TRUE,"Flujo";#N/A,#N/A,TRUE,"Var_Ebit";#N/A,#N/A,TRUE,"Noa";#N/A,#N/A,TRUE,"Var_Noa"}</definedName>
    <definedName name="ui" hidden="1">{#N/A,#N/A,TRUE,"Cond";#N/A,#N/A,TRUE,"Bce_hold";#N/A,#N/A,TRUE,"eerr_hold";#N/A,#N/A,TRUE,"eerr_prod";#N/A,#N/A,TRUE,"eerr_tipogtos";#N/A,#N/A,TRUE,"Flujo";#N/A,#N/A,TRUE,"Var_Ebit";#N/A,#N/A,TRUE,"Noa";#N/A,#N/A,TRUE,"Var_Noa"}</definedName>
    <definedName name="UÑA" hidden="1">{#N/A,#N/A,FALSE,"Aging Summary";#N/A,#N/A,FALSE,"Ratio Analysis";#N/A,#N/A,FALSE,"Test 120 Day Accts";#N/A,#N/A,FALSE,"Tickmarks"}</definedName>
    <definedName name="UÑERO" hidden="1">{"PYGS",#N/A,FALSE,"PYG";"ACTIS",#N/A,FALSE,"BCE_GRAL-ACTIVO";"PASIS",#N/A,FALSE,"BCE_GRAL-PASIVO-PATRIM";"CAJAS",#N/A,FALSE,"CAJA"}</definedName>
    <definedName name="util" hidden="1">{"'Hoja2'!$A$4:$H$68"}</definedName>
    <definedName name="v" hidden="1">{#N/A,#N/A,FALSE,"GRAFICO";#N/A,#N/A,FALSE,"CAJA (2)";#N/A,#N/A,FALSE,"TERCEROS-PROMEDIO";#N/A,#N/A,FALSE,"CAJA";#N/A,#N/A,FALSE,"INGRESOS1995-2003";#N/A,#N/A,FALSE,"GASTOS1995-2003"}</definedName>
    <definedName name="vb" hidden="1">{"Parcial",#N/A,FALSE,"GastFuncionamiento";"Parcial2",#N/A,FALSE,"GastFuncionamiento";"Total",#N/A,FALSE,"GastFuncionamiento"}</definedName>
    <definedName name="VENTA" localSheetId="4" hidden="1">{"'S. C. B.'!$E$207"}</definedName>
    <definedName name="VENTA" localSheetId="3" hidden="1">{"'S. C. B.'!$E$207"}</definedName>
    <definedName name="VENTA" localSheetId="2" hidden="1">{"'S. C. B.'!$E$207"}</definedName>
    <definedName name="VENTA" hidden="1">{"'S. C. B.'!$E$207"}</definedName>
    <definedName name="VENTAS" localSheetId="4" hidden="1">{"'S. C. B.'!$E$207"}</definedName>
    <definedName name="VENTAS" localSheetId="3" hidden="1">{"'S. C. B.'!$E$207"}</definedName>
    <definedName name="VENTAS" localSheetId="2" hidden="1">{"'S. C. B.'!$E$207"}</definedName>
    <definedName name="VENTAS" hidden="1">{"'S. C. B.'!$E$207"}</definedName>
    <definedName name="verde" hidden="1">{#N/A,#N/A,FALSE,"Aging Summary";#N/A,#N/A,FALSE,"Ratio Analysis";#N/A,#N/A,FALSE,"Test 120 Day Accts";#N/A,#N/A,FALSE,"Tickmarks"}</definedName>
    <definedName name="vghf" hidden="1">{#N/A,#N/A,FALSE,"Aging Summary";#N/A,#N/A,FALSE,"Ratio Analysis";#N/A,#N/A,FALSE,"Test 120 Day Accts";#N/A,#N/A,FALSE,"Tickmarks"}</definedName>
    <definedName name="VTA" localSheetId="4" hidden="1">{"'S. C. B.'!$E$207"}</definedName>
    <definedName name="VTA" localSheetId="3" hidden="1">{"'S. C. B.'!$E$207"}</definedName>
    <definedName name="VTA" localSheetId="2" hidden="1">{"'S. C. B.'!$E$207"}</definedName>
    <definedName name="VTA" hidden="1">{"'S. C. B.'!$E$207"}</definedName>
    <definedName name="vvvv" localSheetId="4" hidden="1">{#N/A,#N/A,FALSE,"balance";#N/A,#N/A,FALSE,"PYG"}</definedName>
    <definedName name="vvvv" localSheetId="3" hidden="1">{#N/A,#N/A,FALSE,"balance";#N/A,#N/A,FALSE,"PYG"}</definedName>
    <definedName name="vvvv" localSheetId="2" hidden="1">{#N/A,#N/A,FALSE,"balance";#N/A,#N/A,FALSE,"PYG"}</definedName>
    <definedName name="vvvv" hidden="1">{#N/A,#N/A,FALSE,"balance";#N/A,#N/A,FALSE,"PYG"}</definedName>
    <definedName name="VVVVV" hidden="1">{#N/A,#N/A,FALSE,"Full";#N/A,#N/A,FALSE,"Half";#N/A,#N/A,FALSE,"Op Expenses";#N/A,#N/A,FALSE,"Cap Charge";#N/A,#N/A,FALSE,"Cost C";#N/A,#N/A,FALSE,"PP&amp;E";#N/A,#N/A,FALSE,"R&amp;D"}</definedName>
    <definedName name="w" localSheetId="6" hidden="1">{#N/A,#N/A,FALSE,"Aging Summary";#N/A,#N/A,FALSE,"Ratio Analysis";#N/A,#N/A,FALSE,"Test 120 Day Accts";#N/A,#N/A,FALSE,"Tickmarks"}</definedName>
    <definedName name="w" localSheetId="1" hidden="1">{#N/A,#N/A,FALSE,"Aging Summary";#N/A,#N/A,FALSE,"Ratio Analysis";#N/A,#N/A,FALSE,"Test 120 Day Accts";#N/A,#N/A,FALSE,"Tickmarks"}</definedName>
    <definedName name="w" localSheetId="4" hidden="1">{#N/A,#N/A,FALSE,"Aging Summary";#N/A,#N/A,FALSE,"Ratio Analysis";#N/A,#N/A,FALSE,"Test 120 Day Accts";#N/A,#N/A,FALSE,"Tickmarks"}</definedName>
    <definedName name="w" localSheetId="0" hidden="1">{#N/A,#N/A,FALSE,"Aging Summary";#N/A,#N/A,FALSE,"Ratio Analysis";#N/A,#N/A,FALSE,"Test 120 Day Accts";#N/A,#N/A,FALSE,"Tickmarks"}</definedName>
    <definedName name="w" localSheetId="3" hidden="1">{#N/A,#N/A,FALSE,"Aging Summary";#N/A,#N/A,FALSE,"Ratio Analysis";#N/A,#N/A,FALSE,"Test 120 Day Accts";#N/A,#N/A,FALSE,"Tickmarks"}</definedName>
    <definedName name="w" localSheetId="2" hidden="1">{#N/A,#N/A,FALSE,"Aging Summary";#N/A,#N/A,FALSE,"Ratio Analysis";#N/A,#N/A,FALSE,"Test 120 Day Accts";#N/A,#N/A,FALSE,"Tickmarks"}</definedName>
    <definedName name="w" localSheetId="5" hidden="1">{#N/A,#N/A,FALSE,"Aging Summary";#N/A,#N/A,FALSE,"Ratio Analysis";#N/A,#N/A,FALSE,"Test 120 Day Accts";#N/A,#N/A,FALSE,"Tickmarks"}</definedName>
    <definedName name="w" localSheetId="7" hidden="1">{#N/A,#N/A,FALSE,"Aging Summary";#N/A,#N/A,FALSE,"Ratio Analysis";#N/A,#N/A,FALSE,"Test 120 Day Accts";#N/A,#N/A,FALSE,"Tickmarks"}</definedName>
    <definedName name="w" hidden="1">{#N/A,#N/A,FALSE,"Aging Summary";#N/A,#N/A,FALSE,"Ratio Analysis";#N/A,#N/A,FALSE,"Test 120 Day Accts";#N/A,#N/A,FALSE,"Tickmarks"}</definedName>
    <definedName name="WEAR" hidden="1">{#N/A,#N/A,FALSE,"Aging Summary";#N/A,#N/A,FALSE,"Ratio Analysis";#N/A,#N/A,FALSE,"Test 120 Day Accts";#N/A,#N/A,FALSE,"Tickmarks"}</definedName>
    <definedName name="william" hidden="1">{#N/A,#N/A,FALSE,"Aging Summary";#N/A,#N/A,FALSE,"Ratio Analysis";#N/A,#N/A,FALSE,"Test 120 Day Accts";#N/A,#N/A,FALSE,"Tickmarks"}</definedName>
    <definedName name="wq" hidden="1">{#N/A,#N/A,FALSE,"Aging Summary";#N/A,#N/A,FALSE,"Ratio Analysis";#N/A,#N/A,FALSE,"Test 120 Day Accts";#N/A,#N/A,FALSE,"Tickmarks"}</definedName>
    <definedName name="wqa" hidden="1">{#N/A,#N/A,FALSE,"Aging Summary";#N/A,#N/A,FALSE,"Ratio Analysis";#N/A,#N/A,FALSE,"Test 120 Day Accts";#N/A,#N/A,FALSE,"Tickmarks"}</definedName>
    <definedName name="wr"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6" hidden="1">{#N/A,#N/A,FALSE,"BL&amp;GPA";#N/A,#N/A,FALSE,"Summary";#N/A,#N/A,FALSE,"hts"}</definedName>
    <definedName name="wrn.all." localSheetId="1" hidden="1">{#N/A,#N/A,FALSE,"BL&amp;GPA";#N/A,#N/A,FALSE,"Summary";#N/A,#N/A,FALSE,"hts"}</definedName>
    <definedName name="wrn.all." localSheetId="4" hidden="1">{#N/A,#N/A,FALSE,"BL&amp;GPA";#N/A,#N/A,FALSE,"Summary";#N/A,#N/A,FALSE,"hts"}</definedName>
    <definedName name="wrn.all." localSheetId="0" hidden="1">{#N/A,#N/A,FALSE,"BL&amp;GPA";#N/A,#N/A,FALSE,"Summary";#N/A,#N/A,FALSE,"hts"}</definedName>
    <definedName name="wrn.all." localSheetId="3" hidden="1">{#N/A,#N/A,FALSE,"BL&amp;GPA";#N/A,#N/A,FALSE,"Summary";#N/A,#N/A,FALSE,"hts"}</definedName>
    <definedName name="wrn.all." localSheetId="2" hidden="1">{#N/A,#N/A,FALSE,"BL&amp;GPA";#N/A,#N/A,FALSE,"Summary";#N/A,#N/A,FALSE,"hts"}</definedName>
    <definedName name="wrn.all." localSheetId="5" hidden="1">{#N/A,#N/A,FALSE,"BL&amp;GPA";#N/A,#N/A,FALSE,"Summary";#N/A,#N/A,FALSE,"hts"}</definedName>
    <definedName name="wrn.all." localSheetId="7" hidden="1">{#N/A,#N/A,FALSE,"BL&amp;GPA";#N/A,#N/A,FALSE,"Summary";#N/A,#N/A,FALSE,"hts"}</definedName>
    <definedName name="wrn.all." hidden="1">{#N/A,#N/A,FALSE,"BL&amp;GPA";#N/A,#N/A,FALSE,"Summary";#N/A,#N/A,FALSE,"hts"}</definedName>
    <definedName name="WRN.ALL.2" localSheetId="6" hidden="1">{#N/A,#N/A,FALSE,"BL&amp;GPA";#N/A,#N/A,FALSE,"Summary";#N/A,#N/A,FALSE,"hts"}</definedName>
    <definedName name="WRN.ALL.2" localSheetId="1" hidden="1">{#N/A,#N/A,FALSE,"BL&amp;GPA";#N/A,#N/A,FALSE,"Summary";#N/A,#N/A,FALSE,"hts"}</definedName>
    <definedName name="WRN.ALL.2" localSheetId="4" hidden="1">{#N/A,#N/A,FALSE,"BL&amp;GPA";#N/A,#N/A,FALSE,"Summary";#N/A,#N/A,FALSE,"hts"}</definedName>
    <definedName name="WRN.ALL.2" localSheetId="0" hidden="1">{#N/A,#N/A,FALSE,"BL&amp;GPA";#N/A,#N/A,FALSE,"Summary";#N/A,#N/A,FALSE,"hts"}</definedName>
    <definedName name="WRN.ALL.2" localSheetId="3" hidden="1">{#N/A,#N/A,FALSE,"BL&amp;GPA";#N/A,#N/A,FALSE,"Summary";#N/A,#N/A,FALSE,"hts"}</definedName>
    <definedName name="WRN.ALL.2" localSheetId="2" hidden="1">{#N/A,#N/A,FALSE,"BL&amp;GPA";#N/A,#N/A,FALSE,"Summary";#N/A,#N/A,FALSE,"hts"}</definedName>
    <definedName name="WRN.ALL.2" localSheetId="5" hidden="1">{#N/A,#N/A,FALSE,"BL&amp;GPA";#N/A,#N/A,FALSE,"Summary";#N/A,#N/A,FALSE,"hts"}</definedName>
    <definedName name="WRN.ALL.2" localSheetId="7" hidden="1">{#N/A,#N/A,FALSE,"BL&amp;GPA";#N/A,#N/A,FALSE,"Summary";#N/A,#N/A,FALSE,"hts"}</definedName>
    <definedName name="WRN.ALL.2" hidden="1">{#N/A,#N/A,FALSE,"BL&amp;GPA";#N/A,#N/A,FALSE,"Summary";#N/A,#N/A,FALSE,"hts"}</definedName>
    <definedName name="wrn.Book." hidden="1">{"EVA",#N/A,FALSE,"SMT2";#N/A,#N/A,FALSE,"Summary";#N/A,#N/A,FALSE,"Graphs";#N/A,#N/A,FALSE,"4 Panel"}</definedName>
    <definedName name="wrn.Complete." hidden="1">{#N/A,#N/A,FALSE,"SMT1";#N/A,#N/A,FALSE,"SMT2";#N/A,#N/A,FALSE,"Summary";#N/A,#N/A,FALSE,"Graphs";#N/A,#N/A,FALSE,"4 Panel"}</definedName>
    <definedName name="wrn.Complete._.Set." hidden="1">{#N/A,#N/A,FALSE,"Full";#N/A,#N/A,FALSE,"Half";#N/A,#N/A,FALSE,"Op Expenses";#N/A,#N/A,FALSE,"Cap Charge";#N/A,#N/A,FALSE,"Cost C";#N/A,#N/A,FALSE,"PP&amp;E";#N/A,#N/A,FALSE,"R&amp;D"}</definedName>
    <definedName name="wrn.Financ_polchem." localSheetId="4" hidden="1">{#N/A,#N/A,TRUE,"Cond";#N/A,#N/A,TRUE,"Bce_hold";#N/A,#N/A,TRUE,"eerr_hold";#N/A,#N/A,TRUE,"eerr_prod";#N/A,#N/A,TRUE,"eerr_tipogtos";#N/A,#N/A,TRUE,"Flujo";#N/A,#N/A,TRUE,"Var_Ebit";#N/A,#N/A,TRUE,"Noa";#N/A,#N/A,TRUE,"Var_Noa"}</definedName>
    <definedName name="wrn.Financ_polchem." localSheetId="3" hidden="1">{#N/A,#N/A,TRUE,"Cond";#N/A,#N/A,TRUE,"Bce_hold";#N/A,#N/A,TRUE,"eerr_hold";#N/A,#N/A,TRUE,"eerr_prod";#N/A,#N/A,TRUE,"eerr_tipogtos";#N/A,#N/A,TRUE,"Flujo";#N/A,#N/A,TRUE,"Var_Ebit";#N/A,#N/A,TRUE,"Noa";#N/A,#N/A,TRUE,"Var_Noa"}</definedName>
    <definedName name="wrn.Financ_polchem." localSheetId="2" hidden="1">{#N/A,#N/A,TRUE,"Cond";#N/A,#N/A,TRUE,"Bce_hold";#N/A,#N/A,TRUE,"eerr_hold";#N/A,#N/A,TRUE,"eerr_prod";#N/A,#N/A,TRUE,"eerr_tipogtos";#N/A,#N/A,TRUE,"Flujo";#N/A,#N/A,TRUE,"Var_Ebit";#N/A,#N/A,TRUE,"Noa";#N/A,#N/A,TRUE,"Var_Noa"}</definedName>
    <definedName name="wrn.Financ_polchem." hidden="1">{#N/A,#N/A,TRUE,"Cond";#N/A,#N/A,TRUE,"Bce_hold";#N/A,#N/A,TRUE,"eerr_hold";#N/A,#N/A,TRUE,"eerr_prod";#N/A,#N/A,TRUE,"eerr_tipogtos";#N/A,#N/A,TRUE,"Flujo";#N/A,#N/A,TRUE,"Var_Ebit";#N/A,#N/A,TRUE,"Noa";#N/A,#N/A,TRUE,"Var_Noa"}</definedName>
    <definedName name="wrn.indirectostotal." localSheetId="6" hidden="1">{"idirectoskwh",#N/A,FALSE,"INDIRECTOS"}</definedName>
    <definedName name="wrn.indirectostotal." localSheetId="1" hidden="1">{"idirectoskwh",#N/A,FALSE,"INDIRECTOS"}</definedName>
    <definedName name="wrn.indirectostotal." localSheetId="4" hidden="1">{"idirectoskwh",#N/A,FALSE,"INDIRECTOS"}</definedName>
    <definedName name="wrn.indirectostotal." localSheetId="0" hidden="1">{"idirectoskwh",#N/A,FALSE,"INDIRECTOS"}</definedName>
    <definedName name="wrn.indirectostotal." localSheetId="3" hidden="1">{"idirectoskwh",#N/A,FALSE,"INDIRECTOS"}</definedName>
    <definedName name="wrn.indirectostotal." localSheetId="2" hidden="1">{"idirectoskwh",#N/A,FALSE,"INDIRECTOS"}</definedName>
    <definedName name="wrn.indirectostotal." localSheetId="5" hidden="1">{"idirectoskwh",#N/A,FALSE,"INDIRECTOS"}</definedName>
    <definedName name="wrn.indirectostotal." localSheetId="7" hidden="1">{"idirectoskwh",#N/A,FALSE,"INDIRECTOS"}</definedName>
    <definedName name="wrn.indirectostotal." hidden="1">{"idirectoskwh",#N/A,FALSE,"INDIRECTOS"}</definedName>
    <definedName name="wrn.Inf_CLP." localSheetId="4" hidden="1">{#N/A,#N/A,TRUE,"TAPA ";"INDICE_CLP",#N/A,TRUE,"Indice";#N/A,#N/A,TRUE,"Cond";#N/A,#N/A,TRUE,"Bce_hold";#N/A,#N/A,TRUE,"eerr_hold";#N/A,#N/A,TRUE,"eerr_prod";#N/A,#N/A,TRUE,"eerr_tipogtos";#N/A,#N/A,TRUE,"Flujo";#N/A,#N/A,TRUE,"Var_Ebit";#N/A,#N/A,TRUE,"Noa";#N/A,#N/A,TRUE,"Var_Noa"}</definedName>
    <definedName name="wrn.Inf_CLP." localSheetId="3" hidden="1">{#N/A,#N/A,TRUE,"TAPA ";"INDICE_CLP",#N/A,TRUE,"Indice";#N/A,#N/A,TRUE,"Cond";#N/A,#N/A,TRUE,"Bce_hold";#N/A,#N/A,TRUE,"eerr_hold";#N/A,#N/A,TRUE,"eerr_prod";#N/A,#N/A,TRUE,"eerr_tipogtos";#N/A,#N/A,TRUE,"Flujo";#N/A,#N/A,TRUE,"Var_Ebit";#N/A,#N/A,TRUE,"Noa";#N/A,#N/A,TRUE,"Var_Noa"}</definedName>
    <definedName name="wrn.Inf_CLP." localSheetId="2" hidden="1">{#N/A,#N/A,TRUE,"TAPA ";"INDICE_CLP",#N/A,TRUE,"Indice";#N/A,#N/A,TRUE,"Cond";#N/A,#N/A,TRUE,"Bce_hold";#N/A,#N/A,TRUE,"eerr_hold";#N/A,#N/A,TRUE,"eerr_prod";#N/A,#N/A,TRUE,"eerr_tipogtos";#N/A,#N/A,TRUE,"Flujo";#N/A,#N/A,TRUE,"Var_Ebit";#N/A,#N/A,TRUE,"Noa";#N/A,#N/A,TRUE,"Var_Noa"}</definedName>
    <definedName name="wrn.Inf_CLP." hidden="1">{#N/A,#N/A,TRUE,"TAPA ";"INDICE_CLP",#N/A,TRUE,"Indice";#N/A,#N/A,TRUE,"Cond";#N/A,#N/A,TRUE,"Bce_hold";#N/A,#N/A,TRUE,"eerr_hold";#N/A,#N/A,TRUE,"eerr_prod";#N/A,#N/A,TRUE,"eerr_tipogtos";#N/A,#N/A,TRUE,"Flujo";#N/A,#N/A,TRUE,"Var_Ebit";#N/A,#N/A,TRUE,"Noa";#N/A,#N/A,TRUE,"Var_Noa"}</definedName>
    <definedName name="wrn.INF_USD." localSheetId="4" hidden="1">{"INDICE_USD",#N/A,FALSE,"Indice";#N/A,#N/A,FALSE,"Condusd";#N/A,#N/A,FALSE,"Bce_holdusd";#N/A,#N/A,FALSE,"eerr_holdusd";#N/A,#N/A,FALSE,"eerr_produsd";#N/A,#N/A,FALSE,"eerr_tipogtosusd";#N/A,#N/A,FALSE,"Flujousd";#N/A,#N/A,FALSE,"Var_Ebitusd";#N/A,#N/A,FALSE,"Noausd";#N/A,#N/A,FALSE,"Var_Noausd"}</definedName>
    <definedName name="wrn.INF_USD." localSheetId="3" hidden="1">{"INDICE_USD",#N/A,FALSE,"Indice";#N/A,#N/A,FALSE,"Condusd";#N/A,#N/A,FALSE,"Bce_holdusd";#N/A,#N/A,FALSE,"eerr_holdusd";#N/A,#N/A,FALSE,"eerr_produsd";#N/A,#N/A,FALSE,"eerr_tipogtosusd";#N/A,#N/A,FALSE,"Flujousd";#N/A,#N/A,FALSE,"Var_Ebitusd";#N/A,#N/A,FALSE,"Noausd";#N/A,#N/A,FALSE,"Var_Noausd"}</definedName>
    <definedName name="wrn.INF_USD." localSheetId="2" hidden="1">{"INDICE_USD",#N/A,FALSE,"Indice";#N/A,#N/A,FALSE,"Condusd";#N/A,#N/A,FALSE,"Bce_holdusd";#N/A,#N/A,FALSE,"eerr_holdusd";#N/A,#N/A,FALSE,"eerr_produsd";#N/A,#N/A,FALSE,"eerr_tipogtosusd";#N/A,#N/A,FALSE,"Flujousd";#N/A,#N/A,FALSE,"Var_Ebitusd";#N/A,#N/A,FALSE,"Noausd";#N/A,#N/A,FALSE,"Var_Noausd"}</definedName>
    <definedName name="wrn.INF_USD." hidden="1">{"INDICE_USD",#N/A,FALSE,"Indice";#N/A,#N/A,FALSE,"Condusd";#N/A,#N/A,FALSE,"Bce_holdusd";#N/A,#N/A,FALSE,"eerr_holdusd";#N/A,#N/A,FALSE,"eerr_produsd";#N/A,#N/A,FALSE,"eerr_tipogtosusd";#N/A,#N/A,FALSE,"Flujousd";#N/A,#N/A,FALSE,"Var_Ebitusd";#N/A,#N/A,FALSE,"Noausd";#N/A,#N/A,FALSE,"Var_Noausd"}</definedName>
    <definedName name="wrn.junta." localSheetId="6" hidden="1">{#N/A,#N/A,FALSE,"balance";#N/A,#N/A,FALSE,"PYG"}</definedName>
    <definedName name="wrn.junta." localSheetId="1" hidden="1">{#N/A,#N/A,FALSE,"balance";#N/A,#N/A,FALSE,"PYG"}</definedName>
    <definedName name="wrn.junta." localSheetId="4" hidden="1">{#N/A,#N/A,FALSE,"balance";#N/A,#N/A,FALSE,"PYG"}</definedName>
    <definedName name="wrn.junta." localSheetId="0" hidden="1">{#N/A,#N/A,FALSE,"balance";#N/A,#N/A,FALSE,"PYG"}</definedName>
    <definedName name="wrn.junta." localSheetId="3" hidden="1">{#N/A,#N/A,FALSE,"balance";#N/A,#N/A,FALSE,"PYG"}</definedName>
    <definedName name="wrn.junta." localSheetId="2" hidden="1">{#N/A,#N/A,FALSE,"balance";#N/A,#N/A,FALSE,"PYG"}</definedName>
    <definedName name="wrn.junta." localSheetId="5" hidden="1">{#N/A,#N/A,FALSE,"balance";#N/A,#N/A,FALSE,"PYG"}</definedName>
    <definedName name="wrn.junta." localSheetId="7" hidden="1">{#N/A,#N/A,FALSE,"balance";#N/A,#N/A,FALSE,"PYG"}</definedName>
    <definedName name="wrn.junta." hidden="1">{#N/A,#N/A,FALSE,"balance";#N/A,#N/A,FALSE,"PYG"}</definedName>
    <definedName name="wrn.Junta._.Principal." localSheetId="4" hidden="1">{#N/A,#N/A,FALSE,"VENTAS";#N/A,#N/A,FALSE,"U. BRUTA";#N/A,#N/A,FALSE,"G. PERSONAL";#N/A,#N/A,FALSE,"G. OPERACION";#N/A,#N/A,FALSE,"G. DEPYAM";#N/A,#N/A,FALSE,"INGRESOS";#N/A,#N/A,FALSE,"G.o P.1";#N/A,#N/A,FALSE,"3%Informe Junta";#N/A,#N/A,FALSE,"P Y G (2)";#N/A,#N/A,FALSE,"CART. PROV.";#N/A,#N/A,FALSE,"Usecmes";#N/A,#N/A,FALSE,"Usecacu"}</definedName>
    <definedName name="wrn.Junta._.Principal." localSheetId="3" hidden="1">{#N/A,#N/A,FALSE,"VENTAS";#N/A,#N/A,FALSE,"U. BRUTA";#N/A,#N/A,FALSE,"G. PERSONAL";#N/A,#N/A,FALSE,"G. OPERACION";#N/A,#N/A,FALSE,"G. DEPYAM";#N/A,#N/A,FALSE,"INGRESOS";#N/A,#N/A,FALSE,"G.o P.1";#N/A,#N/A,FALSE,"3%Informe Junta";#N/A,#N/A,FALSE,"P Y G (2)";#N/A,#N/A,FALSE,"CART. PROV.";#N/A,#N/A,FALSE,"Usecmes";#N/A,#N/A,FALSE,"Usecacu"}</definedName>
    <definedName name="wrn.Junta._.Principal." localSheetId="2" hidden="1">{#N/A,#N/A,FALSE,"VENTAS";#N/A,#N/A,FALSE,"U. BRUTA";#N/A,#N/A,FALSE,"G. PERSONAL";#N/A,#N/A,FALSE,"G. OPERACION";#N/A,#N/A,FALSE,"G. DEPYAM";#N/A,#N/A,FALSE,"INGRESOS";#N/A,#N/A,FALSE,"G.o P.1";#N/A,#N/A,FALSE,"3%Informe Junta";#N/A,#N/A,FALSE,"P Y G (2)";#N/A,#N/A,FALSE,"CART. PROV.";#N/A,#N/A,FALSE,"Usecmes";#N/A,#N/A,FALSE,"Usecacu"}</definedName>
    <definedName name="wrn.Junta._.Principal." hidden="1">{#N/A,#N/A,FALSE,"VENTAS";#N/A,#N/A,FALSE,"U. BRUTA";#N/A,#N/A,FALSE,"G. PERSONAL";#N/A,#N/A,FALSE,"G. OPERACION";#N/A,#N/A,FALSE,"G. DEPYAM";#N/A,#N/A,FALSE,"INGRESOS";#N/A,#N/A,FALSE,"G.o P.1";#N/A,#N/A,FALSE,"3%Informe Junta";#N/A,#N/A,FALSE,"P Y G (2)";#N/A,#N/A,FALSE,"CART. PROV.";#N/A,#N/A,FALSE,"Usecmes";#N/A,#N/A,FALSE,"Usecacu"}</definedName>
    <definedName name="wrn.junta.2" localSheetId="6" hidden="1">{#N/A,#N/A,FALSE,"balance";#N/A,#N/A,FALSE,"PYG"}</definedName>
    <definedName name="wrn.junta.2" localSheetId="1" hidden="1">{#N/A,#N/A,FALSE,"balance";#N/A,#N/A,FALSE,"PYG"}</definedName>
    <definedName name="wrn.junta.2" localSheetId="4" hidden="1">{#N/A,#N/A,FALSE,"balance";#N/A,#N/A,FALSE,"PYG"}</definedName>
    <definedName name="wrn.junta.2" localSheetId="0" hidden="1">{#N/A,#N/A,FALSE,"balance";#N/A,#N/A,FALSE,"PYG"}</definedName>
    <definedName name="wrn.junta.2" localSheetId="3" hidden="1">{#N/A,#N/A,FALSE,"balance";#N/A,#N/A,FALSE,"PYG"}</definedName>
    <definedName name="wrn.junta.2" localSheetId="2" hidden="1">{#N/A,#N/A,FALSE,"balance";#N/A,#N/A,FALSE,"PYG"}</definedName>
    <definedName name="wrn.junta.2" localSheetId="5" hidden="1">{#N/A,#N/A,FALSE,"balance";#N/A,#N/A,FALSE,"PYG"}</definedName>
    <definedName name="wrn.junta.2" localSheetId="7" hidden="1">{#N/A,#N/A,FALSE,"balance";#N/A,#N/A,FALSE,"PYG"}</definedName>
    <definedName name="wrn.junta.2" hidden="1">{#N/A,#N/A,FALSE,"balance";#N/A,#N/A,FALSE,"PYG"}</definedName>
    <definedName name="wrn.KWHTOTAL." localSheetId="6" hidden="1">{"KWHTONTOTAL",#N/A,FALSE,"KWHTON"}</definedName>
    <definedName name="wrn.KWHTOTAL." localSheetId="1" hidden="1">{"KWHTONTOTAL",#N/A,FALSE,"KWHTON"}</definedName>
    <definedName name="wrn.KWHTOTAL." localSheetId="4" hidden="1">{"KWHTONTOTAL",#N/A,FALSE,"KWHTON"}</definedName>
    <definedName name="wrn.KWHTOTAL." localSheetId="0" hidden="1">{"KWHTONTOTAL",#N/A,FALSE,"KWHTON"}</definedName>
    <definedName name="wrn.KWHTOTAL." localSheetId="3" hidden="1">{"KWHTONTOTAL",#N/A,FALSE,"KWHTON"}</definedName>
    <definedName name="wrn.KWHTOTAL." localSheetId="2" hidden="1">{"KWHTONTOTAL",#N/A,FALSE,"KWHTON"}</definedName>
    <definedName name="wrn.KWHTOTAL." localSheetId="5" hidden="1">{"KWHTONTOTAL",#N/A,FALSE,"KWHTON"}</definedName>
    <definedName name="wrn.KWHTOTAL." localSheetId="7" hidden="1">{"KWHTONTOTAL",#N/A,FALSE,"KWHTON"}</definedName>
    <definedName name="wrn.KWHTOTAL." hidden="1">{"KWHTONTOTAL",#N/A,FALSE,"KWHTON"}</definedName>
    <definedName name="wrn.print._.rept.." localSheetId="6" hidden="1">{#N/A,#N/A,FALSE,"GP";#N/A,#N/A,FALSE,"Summary"}</definedName>
    <definedName name="wrn.print._.rept.." localSheetId="1" hidden="1">{#N/A,#N/A,FALSE,"GP";#N/A,#N/A,FALSE,"Summary"}</definedName>
    <definedName name="wrn.print._.rept.." localSheetId="4" hidden="1">{#N/A,#N/A,FALSE,"GP";#N/A,#N/A,FALSE,"Summary"}</definedName>
    <definedName name="wrn.print._.rept.." localSheetId="0" hidden="1">{#N/A,#N/A,FALSE,"GP";#N/A,#N/A,FALSE,"Summary"}</definedName>
    <definedName name="wrn.print._.rept.." localSheetId="3" hidden="1">{#N/A,#N/A,FALSE,"GP";#N/A,#N/A,FALSE,"Summary"}</definedName>
    <definedName name="wrn.print._.rept.." localSheetId="2" hidden="1">{#N/A,#N/A,FALSE,"GP";#N/A,#N/A,FALSE,"Summary"}</definedName>
    <definedName name="wrn.print._.rept.." localSheetId="5" hidden="1">{#N/A,#N/A,FALSE,"GP";#N/A,#N/A,FALSE,"Summary"}</definedName>
    <definedName name="wrn.print._.rept.." localSheetId="7" hidden="1">{#N/A,#N/A,FALSE,"GP";#N/A,#N/A,FALSE,"Summary"}</definedName>
    <definedName name="wrn.print._.rept.." hidden="1">{#N/A,#N/A,FALSE,"GP";#N/A,#N/A,FALSE,"Summary"}</definedName>
    <definedName name="wrn.PROYEC." localSheetId="4" hidden="1">{#N/A,#N/A,FALSE,"GRAFICO";#N/A,#N/A,FALSE,"CAJA (2)";#N/A,#N/A,FALSE,"TERCEROS-PROMEDIO";#N/A,#N/A,FALSE,"CAJA";#N/A,#N/A,FALSE,"INGRESOS1995-2003";#N/A,#N/A,FALSE,"GASTOS1995-2003"}</definedName>
    <definedName name="wrn.PROYEC." localSheetId="3" hidden="1">{#N/A,#N/A,FALSE,"GRAFICO";#N/A,#N/A,FALSE,"CAJA (2)";#N/A,#N/A,FALSE,"TERCEROS-PROMEDIO";#N/A,#N/A,FALSE,"CAJA";#N/A,#N/A,FALSE,"INGRESOS1995-2003";#N/A,#N/A,FALSE,"GASTOS1995-2003"}</definedName>
    <definedName name="wrn.PROYEC." localSheetId="2" hidden="1">{#N/A,#N/A,FALSE,"GRAFICO";#N/A,#N/A,FALSE,"CAJA (2)";#N/A,#N/A,FALSE,"TERCEROS-PROMEDIO";#N/A,#N/A,FALSE,"CAJA";#N/A,#N/A,FALSE,"INGRESOS1995-2003";#N/A,#N/A,FALSE,"GASTOS1995-2003"}</definedName>
    <definedName name="wrn.PROYEC." hidden="1">{#N/A,#N/A,FALSE,"GRAFICO";#N/A,#N/A,FALSE,"CAJA (2)";#N/A,#N/A,FALSE,"TERCEROS-PROMEDIO";#N/A,#N/A,FALSE,"CAJA";#N/A,#N/A,FALSE,"INGRESOS1995-2003";#N/A,#N/A,FALSE,"GASTOS1995-2003"}</definedName>
    <definedName name="wrn.SENCILLO." localSheetId="4" hidden="1">{"PYGS",#N/A,FALSE,"PYG";"ACTIS",#N/A,FALSE,"BCE_GRAL-ACTIVO";"PASIS",#N/A,FALSE,"BCE_GRAL-PASIVO-PATRIM";"CAJAS",#N/A,FALSE,"CAJA"}</definedName>
    <definedName name="wrn.SENCILLO." localSheetId="3" hidden="1">{"PYGS",#N/A,FALSE,"PYG";"ACTIS",#N/A,FALSE,"BCE_GRAL-ACTIVO";"PASIS",#N/A,FALSE,"BCE_GRAL-PASIVO-PATRIM";"CAJAS",#N/A,FALSE,"CAJA"}</definedName>
    <definedName name="wrn.SENCILLO." localSheetId="2" hidden="1">{"PYGS",#N/A,FALSE,"PYG";"ACTIS",#N/A,FALSE,"BCE_GRAL-ACTIVO";"PASIS",#N/A,FALSE,"BCE_GRAL-PASIVO-PATRIM";"CAJAS",#N/A,FALSE,"CAJA"}</definedName>
    <definedName name="wrn.SENCILLO." hidden="1">{"PYGS",#N/A,FALSE,"PYG";"ACTIS",#N/A,FALSE,"BCE_GRAL-ACTIVO";"PASIS",#N/A,FALSE,"BCE_GRAL-PASIVO-PATRIM";"CAJAS",#N/A,FALSE,"CAJA"}</definedName>
    <definedName name="wrn.TOTAL." localSheetId="4" hidden="1">{"PYGT",#N/A,FALSE,"PYG";"ACTIT",#N/A,FALSE,"BCE_GRAL-ACTIVO";"PASIT",#N/A,FALSE,"BCE_GRAL-PASIVO-PATRIM";"CAJAT",#N/A,FALSE,"CAJA"}</definedName>
    <definedName name="wrn.TOTAL." localSheetId="3" hidden="1">{"PYGT",#N/A,FALSE,"PYG";"ACTIT",#N/A,FALSE,"BCE_GRAL-ACTIVO";"PASIT",#N/A,FALSE,"BCE_GRAL-PASIVO-PATRIM";"CAJAT",#N/A,FALSE,"CAJA"}</definedName>
    <definedName name="wrn.TOTAL." localSheetId="2" hidden="1">{"PYGT",#N/A,FALSE,"PYG";"ACTIT",#N/A,FALSE,"BCE_GRAL-ACTIVO";"PASIT",#N/A,FALSE,"BCE_GRAL-PASIVO-PATRIM";"CAJAT",#N/A,FALSE,"CAJA"}</definedName>
    <definedName name="wrn.TOTAL." hidden="1">{"PYGT",#N/A,FALSE,"PYG";"ACTIT",#N/A,FALSE,"BCE_GRAL-ACTIVO";"PASIT",#N/A,FALSE,"BCE_GRAL-PASIVO-PATRIM";"CAJAT",#N/A,FALSE,"CAJA"}</definedName>
    <definedName name="Wrn_print._rept_2" localSheetId="6" hidden="1">{#N/A,#N/A,FALSE,"GP";#N/A,#N/A,FALSE,"Summary"}</definedName>
    <definedName name="Wrn_print._rept_2" localSheetId="1" hidden="1">{#N/A,#N/A,FALSE,"GP";#N/A,#N/A,FALSE,"Summary"}</definedName>
    <definedName name="Wrn_print._rept_2" localSheetId="4" hidden="1">{#N/A,#N/A,FALSE,"GP";#N/A,#N/A,FALSE,"Summary"}</definedName>
    <definedName name="Wrn_print._rept_2" localSheetId="0" hidden="1">{#N/A,#N/A,FALSE,"GP";#N/A,#N/A,FALSE,"Summary"}</definedName>
    <definedName name="Wrn_print._rept_2" localSheetId="3" hidden="1">{#N/A,#N/A,FALSE,"GP";#N/A,#N/A,FALSE,"Summary"}</definedName>
    <definedName name="Wrn_print._rept_2" localSheetId="2" hidden="1">{#N/A,#N/A,FALSE,"GP";#N/A,#N/A,FALSE,"Summary"}</definedName>
    <definedName name="Wrn_print._rept_2" localSheetId="5" hidden="1">{#N/A,#N/A,FALSE,"GP";#N/A,#N/A,FALSE,"Summary"}</definedName>
    <definedName name="Wrn_print._rept_2" localSheetId="7" hidden="1">{#N/A,#N/A,FALSE,"GP";#N/A,#N/A,FALSE,"Summary"}</definedName>
    <definedName name="Wrn_print._rept_2" hidden="1">{#N/A,#N/A,FALSE,"GP";#N/A,#N/A,FALSE,"Summary"}</definedName>
    <definedName name="WWWW" localSheetId="4" hidden="1">{"KWHTONTOTAL",#N/A,FALSE,"KWHTON"}</definedName>
    <definedName name="WWWW" localSheetId="3" hidden="1">{"KWHTONTOTAL",#N/A,FALSE,"KWHTON"}</definedName>
    <definedName name="WWWW" localSheetId="2" hidden="1">{"KWHTONTOTAL",#N/A,FALSE,"KWHTON"}</definedName>
    <definedName name="WWWW" hidden="1">{"KWHTONTOTAL",#N/A,FALSE,"KWHTON"}</definedName>
    <definedName name="wwwwww" localSheetId="4" hidden="1">{#N/A,#N/A,TRUE,"Cond";#N/A,#N/A,TRUE,"Bce_hold";#N/A,#N/A,TRUE,"eerr_hold";#N/A,#N/A,TRUE,"eerr_prod";#N/A,#N/A,TRUE,"eerr_tipogtos";#N/A,#N/A,TRUE,"Flujo";#N/A,#N/A,TRUE,"Var_Ebit";#N/A,#N/A,TRUE,"Noa";#N/A,#N/A,TRUE,"Var_Noa"}</definedName>
    <definedName name="wwwwww" localSheetId="3" hidden="1">{#N/A,#N/A,TRUE,"Cond";#N/A,#N/A,TRUE,"Bce_hold";#N/A,#N/A,TRUE,"eerr_hold";#N/A,#N/A,TRUE,"eerr_prod";#N/A,#N/A,TRUE,"eerr_tipogtos";#N/A,#N/A,TRUE,"Flujo";#N/A,#N/A,TRUE,"Var_Ebit";#N/A,#N/A,TRUE,"Noa";#N/A,#N/A,TRUE,"Var_Noa"}</definedName>
    <definedName name="wwwwww" localSheetId="2" hidden="1">{#N/A,#N/A,TRUE,"Cond";#N/A,#N/A,TRUE,"Bce_hold";#N/A,#N/A,TRUE,"eerr_hold";#N/A,#N/A,TRUE,"eerr_prod";#N/A,#N/A,TRUE,"eerr_tipogtos";#N/A,#N/A,TRUE,"Flujo";#N/A,#N/A,TRUE,"Var_Ebit";#N/A,#N/A,TRUE,"Noa";#N/A,#N/A,TRUE,"Var_Noa"}</definedName>
    <definedName name="wwwwww" hidden="1">{#N/A,#N/A,TRUE,"Cond";#N/A,#N/A,TRUE,"Bce_hold";#N/A,#N/A,TRUE,"eerr_hold";#N/A,#N/A,TRUE,"eerr_prod";#N/A,#N/A,TRUE,"eerr_tipogtos";#N/A,#N/A,TRUE,"Flujo";#N/A,#N/A,TRUE,"Var_Ebit";#N/A,#N/A,TRUE,"Noa";#N/A,#N/A,TRUE,"Var_Noa"}</definedName>
    <definedName name="xa" hidden="1">{"'Hoja2'!$A$4:$H$68"}</definedName>
    <definedName name="xchk" localSheetId="6" hidden="1">{#N/A,#N/A,FALSE,"balance";#N/A,#N/A,FALSE,"PYG"}</definedName>
    <definedName name="xchk" localSheetId="1" hidden="1">{#N/A,#N/A,FALSE,"balance";#N/A,#N/A,FALSE,"PYG"}</definedName>
    <definedName name="xchk" localSheetId="4" hidden="1">{#N/A,#N/A,FALSE,"balance";#N/A,#N/A,FALSE,"PYG"}</definedName>
    <definedName name="xchk" localSheetId="0" hidden="1">{#N/A,#N/A,FALSE,"balance";#N/A,#N/A,FALSE,"PYG"}</definedName>
    <definedName name="xchk" localSheetId="3" hidden="1">{#N/A,#N/A,FALSE,"balance";#N/A,#N/A,FALSE,"PYG"}</definedName>
    <definedName name="xchk" localSheetId="2" hidden="1">{#N/A,#N/A,FALSE,"balance";#N/A,#N/A,FALSE,"PYG"}</definedName>
    <definedName name="xchk" localSheetId="5" hidden="1">{#N/A,#N/A,FALSE,"balance";#N/A,#N/A,FALSE,"PYG"}</definedName>
    <definedName name="xchk" localSheetId="7" hidden="1">{#N/A,#N/A,FALSE,"balance";#N/A,#N/A,FALSE,"PYG"}</definedName>
    <definedName name="xchk" hidden="1">{#N/A,#N/A,FALSE,"balance";#N/A,#N/A,FALSE,"PYG"}</definedName>
    <definedName name="XEROS" hidden="1">{#N/A,#N/A,FALSE,"Aging Summary";#N/A,#N/A,FALSE,"Ratio Analysis";#N/A,#N/A,FALSE,"Test 120 Day Accts";#N/A,#N/A,FALSE,"Tickmarks"}</definedName>
    <definedName name="XIOMARA" hidden="1">{"PYGS",#N/A,FALSE,"PYG";"ACTIS",#N/A,FALSE,"BCE_GRAL-ACTIVO";"PASIS",#N/A,FALSE,"BCE_GRAL-PASIVO-PATRIM";"CAJAS",#N/A,FALSE,"CAJA"}</definedName>
    <definedName name="XION" hidden="1">{#N/A,#N/A,FALSE,"Aging Summary";#N/A,#N/A,FALSE,"Ratio Analysis";#N/A,#N/A,FALSE,"Test 120 Day Accts";#N/A,#N/A,FALSE,"Tickmarks"}</definedName>
    <definedName name="XREF_COLUMN_1" localSheetId="1" hidden="1">#REF!</definedName>
    <definedName name="XREF_COLUMN_1" localSheetId="4" hidden="1">#REF!</definedName>
    <definedName name="XREF_COLUMN_1" localSheetId="0" hidden="1">#REF!</definedName>
    <definedName name="XREF_COLUMN_1" localSheetId="3" hidden="1">#REF!</definedName>
    <definedName name="XREF_COLUMN_1" localSheetId="2" hidden="1">#REF!</definedName>
    <definedName name="XREF_COLUMN_1" hidden="1">#REF!</definedName>
    <definedName name="XREF_COLUMN_10" localSheetId="4" hidden="1">'[13]ANTICIPO DE IMPUESTOS (1355)'!#REF!</definedName>
    <definedName name="XREF_COLUMN_10" localSheetId="3" hidden="1">'[13]ANTICIPO DE IMPUESTOS (1355)'!#REF!</definedName>
    <definedName name="XREF_COLUMN_10" localSheetId="2" hidden="1">'[13]ANTICIPO DE IMPUESTOS (1355)'!#REF!</definedName>
    <definedName name="XREF_COLUMN_10" hidden="1">'[13]ANTICIPO DE IMPUESTOS (1355)'!#REF!</definedName>
    <definedName name="XREF_COLUMN_11" localSheetId="4" hidden="1">'[14]Prueba Global Act Fijos'!#REF!</definedName>
    <definedName name="XREF_COLUMN_11" localSheetId="3" hidden="1">'[14]Prueba Global Act Fijos'!#REF!</definedName>
    <definedName name="XREF_COLUMN_11" localSheetId="2" hidden="1">'[14]Prueba Global Act Fijos'!#REF!</definedName>
    <definedName name="XREF_COLUMN_11" hidden="1">'[14]Prueba Global Act Fijos'!#REF!</definedName>
    <definedName name="XREF_COLUMN_12" localSheetId="4" hidden="1">#REF!</definedName>
    <definedName name="XREF_COLUMN_12" localSheetId="3" hidden="1">#REF!</definedName>
    <definedName name="XREF_COLUMN_12" localSheetId="2" hidden="1">#REF!</definedName>
    <definedName name="XREF_COLUMN_12" hidden="1">#REF!</definedName>
    <definedName name="XREF_COLUMN_13" localSheetId="4" hidden="1">'[13]D. VARIOS (1380)'!#REF!</definedName>
    <definedName name="XREF_COLUMN_13" localSheetId="3" hidden="1">'[13]D. VARIOS (1380)'!#REF!</definedName>
    <definedName name="XREF_COLUMN_13" localSheetId="2" hidden="1">'[13]D. VARIOS (1380)'!#REF!</definedName>
    <definedName name="XREF_COLUMN_13" hidden="1">'[13]D. VARIOS (1380)'!#REF!</definedName>
    <definedName name="XREF_COLUMN_14" localSheetId="4" hidden="1">'[14]Prueba Global Act Fijos'!#REF!</definedName>
    <definedName name="XREF_COLUMN_14" localSheetId="3" hidden="1">'[14]Prueba Global Act Fijos'!#REF!</definedName>
    <definedName name="XREF_COLUMN_14" localSheetId="2" hidden="1">'[14]Prueba Global Act Fijos'!#REF!</definedName>
    <definedName name="XREF_COLUMN_14" hidden="1">'[14]Prueba Global Act Fijos'!#REF!</definedName>
    <definedName name="XREF_COLUMN_15" localSheetId="4" hidden="1">'[14]Prueba Global Act Fijos'!#REF!</definedName>
    <definedName name="XREF_COLUMN_15" localSheetId="3" hidden="1">'[14]Prueba Global Act Fijos'!#REF!</definedName>
    <definedName name="XREF_COLUMN_15" localSheetId="2" hidden="1">'[14]Prueba Global Act Fijos'!#REF!</definedName>
    <definedName name="XREF_COLUMN_15" hidden="1">'[14]Prueba Global Act Fijos'!#REF!</definedName>
    <definedName name="XREF_COLUMN_16" localSheetId="4" hidden="1">#REF!</definedName>
    <definedName name="XREF_COLUMN_16" localSheetId="3" hidden="1">#REF!</definedName>
    <definedName name="XREF_COLUMN_16" localSheetId="2" hidden="1">#REF!</definedName>
    <definedName name="XREF_COLUMN_16" hidden="1">#REF!</definedName>
    <definedName name="XREF_COLUMN_17" localSheetId="4" hidden="1">'[14]Prueba Global Act Fijos'!#REF!</definedName>
    <definedName name="XREF_COLUMN_17" localSheetId="3" hidden="1">'[14]Prueba Global Act Fijos'!#REF!</definedName>
    <definedName name="XREF_COLUMN_17" localSheetId="2" hidden="1">'[14]Prueba Global Act Fijos'!#REF!</definedName>
    <definedName name="XREF_COLUMN_17" hidden="1">'[14]Prueba Global Act Fijos'!#REF!</definedName>
    <definedName name="XREF_COLUMN_2" localSheetId="4" hidden="1">'[13]ANTICIPO DE IMPUESTOS (1355)'!#REF!</definedName>
    <definedName name="XREF_COLUMN_2" localSheetId="3" hidden="1">'[13]ANTICIPO DE IMPUESTOS (1355)'!#REF!</definedName>
    <definedName name="XREF_COLUMN_2" localSheetId="2" hidden="1">'[13]ANTICIPO DE IMPUESTOS (1355)'!#REF!</definedName>
    <definedName name="XREF_COLUMN_2" hidden="1">'[13]ANTICIPO DE IMPUESTOS (1355)'!#REF!</definedName>
    <definedName name="XREF_COLUMN_3" localSheetId="4" hidden="1">#REF!</definedName>
    <definedName name="XREF_COLUMN_3" localSheetId="3" hidden="1">#REF!</definedName>
    <definedName name="XREF_COLUMN_3" localSheetId="2" hidden="1">#REF!</definedName>
    <definedName name="XREF_COLUMN_3" hidden="1">#REF!</definedName>
    <definedName name="XREF_COLUMN_4" localSheetId="4" hidden="1">'[13]PROVISIONES (1399)'!#REF!</definedName>
    <definedName name="XREF_COLUMN_4" localSheetId="3" hidden="1">'[13]PROVISIONES (1399)'!#REF!</definedName>
    <definedName name="XREF_COLUMN_4" localSheetId="2" hidden="1">'[13]PROVISIONES (1399)'!#REF!</definedName>
    <definedName name="XREF_COLUMN_4" hidden="1">'[13]PROVISIONES (1399)'!#REF!</definedName>
    <definedName name="XREF_COLUMN_5" localSheetId="4" hidden="1">#REF!</definedName>
    <definedName name="XREF_COLUMN_5" localSheetId="3" hidden="1">#REF!</definedName>
    <definedName name="XREF_COLUMN_5" localSheetId="2" hidden="1">#REF!</definedName>
    <definedName name="XREF_COLUMN_5" hidden="1">#REF!</definedName>
    <definedName name="XREF_COLUMN_6" localSheetId="4" hidden="1">'[13]D. VARIOS (1380)'!#REF!</definedName>
    <definedName name="XREF_COLUMN_6" localSheetId="3" hidden="1">'[13]D. VARIOS (1380)'!#REF!</definedName>
    <definedName name="XREF_COLUMN_6" localSheetId="2" hidden="1">'[13]D. VARIOS (1380)'!#REF!</definedName>
    <definedName name="XREF_COLUMN_6" hidden="1">'[13]D. VARIOS (1380)'!#REF!</definedName>
    <definedName name="XREF_COLUMN_7" localSheetId="4" hidden="1">#REF!</definedName>
    <definedName name="XREF_COLUMN_7" localSheetId="3" hidden="1">#REF!</definedName>
    <definedName name="XREF_COLUMN_7" localSheetId="2" hidden="1">#REF!</definedName>
    <definedName name="XREF_COLUMN_7" hidden="1">#REF!</definedName>
    <definedName name="XREF_COLUMN_8" localSheetId="4" hidden="1">#REF!</definedName>
    <definedName name="XREF_COLUMN_8" localSheetId="3" hidden="1">#REF!</definedName>
    <definedName name="XREF_COLUMN_8" localSheetId="2" hidden="1">#REF!</definedName>
    <definedName name="XREF_COLUMN_8" hidden="1">#REF!</definedName>
    <definedName name="XREF_COLUMN_9" localSheetId="4" hidden="1">#REF!</definedName>
    <definedName name="XREF_COLUMN_9" localSheetId="3" hidden="1">#REF!</definedName>
    <definedName name="XREF_COLUMN_9" localSheetId="2" hidden="1">#REF!</definedName>
    <definedName name="XREF_COLUMN_9" hidden="1">#REF!</definedName>
    <definedName name="XRefActiveRow" localSheetId="1" hidden="1">#REF!</definedName>
    <definedName name="XRefActiveRow" localSheetId="4" hidden="1">#REF!</definedName>
    <definedName name="XRefActiveRow" localSheetId="0" hidden="1">#REF!</definedName>
    <definedName name="XRefActiveRow" localSheetId="3" hidden="1">#REF!</definedName>
    <definedName name="XRefActiveRow" localSheetId="2" hidden="1">#REF!</definedName>
    <definedName name="XRefActiveRow" hidden="1">#REF!</definedName>
    <definedName name="XRefColumnsCount" hidden="1">1</definedName>
    <definedName name="XRefCopy1" localSheetId="4" hidden="1">#REF!</definedName>
    <definedName name="XRefCopy1" localSheetId="3" hidden="1">#REF!</definedName>
    <definedName name="XRefCopy1" hidden="1">#REF!</definedName>
    <definedName name="XRefCopy10" localSheetId="4" hidden="1">'[15]Cálculo Detallado'!#REF!</definedName>
    <definedName name="XRefCopy10" localSheetId="3" hidden="1">'[15]Cálculo Detallado'!#REF!</definedName>
    <definedName name="XRefCopy10" localSheetId="2" hidden="1">'[15]Cálculo Detallado'!#REF!</definedName>
    <definedName name="XRefCopy10" hidden="1">'[15]Cálculo Detallado'!#REF!</definedName>
    <definedName name="XRefCopy10Row" localSheetId="4" hidden="1">#REF!</definedName>
    <definedName name="XRefCopy10Row" localSheetId="3" hidden="1">#REF!</definedName>
    <definedName name="XRefCopy10Row" localSheetId="2" hidden="1">#REF!</definedName>
    <definedName name="XRefCopy10Row" hidden="1">#REF!</definedName>
    <definedName name="XRefCopy11" localSheetId="4" hidden="1">#REF!</definedName>
    <definedName name="XRefCopy11" localSheetId="3" hidden="1">#REF!</definedName>
    <definedName name="XRefCopy11" localSheetId="2" hidden="1">#REF!</definedName>
    <definedName name="XRefCopy11" hidden="1">#REF!</definedName>
    <definedName name="XRefCopy11Row" localSheetId="4" hidden="1">#REF!</definedName>
    <definedName name="XRefCopy11Row" localSheetId="3" hidden="1">#REF!</definedName>
    <definedName name="XRefCopy11Row" localSheetId="2" hidden="1">#REF!</definedName>
    <definedName name="XRefCopy11Row" hidden="1">#REF!</definedName>
    <definedName name="XRefCopy12" localSheetId="4" hidden="1">#REF!</definedName>
    <definedName name="XRefCopy12" localSheetId="3" hidden="1">#REF!</definedName>
    <definedName name="XRefCopy12" hidden="1">#REF!</definedName>
    <definedName name="XRefCopy12Row" localSheetId="4" hidden="1">#REF!</definedName>
    <definedName name="XRefCopy12Row" localSheetId="3" hidden="1">#REF!</definedName>
    <definedName name="XRefCopy12Row" hidden="1">#REF!</definedName>
    <definedName name="XRefCopy13" hidden="1">'[15]Cálculo Detallado'!$L$112</definedName>
    <definedName name="XRefCopy13Row" localSheetId="4" hidden="1">#REF!</definedName>
    <definedName name="XRefCopy13Row" localSheetId="3" hidden="1">#REF!</definedName>
    <definedName name="XRefCopy13Row" localSheetId="2" hidden="1">#REF!</definedName>
    <definedName name="XRefCopy13Row" hidden="1">#REF!</definedName>
    <definedName name="XRefCopy14" hidden="1">'[15]Cálculo Detallado'!$C$112</definedName>
    <definedName name="XRefCopy14Row" localSheetId="4" hidden="1">#REF!</definedName>
    <definedName name="XRefCopy14Row" localSheetId="3" hidden="1">#REF!</definedName>
    <definedName name="XRefCopy14Row" localSheetId="2" hidden="1">#REF!</definedName>
    <definedName name="XRefCopy14Row" hidden="1">#REF!</definedName>
    <definedName name="XRefCopy15" hidden="1">'[15]Cálculo Detallado'!$J$112</definedName>
    <definedName name="XRefCopy15Row" localSheetId="4" hidden="1">[16]XREF!#REF!</definedName>
    <definedName name="XRefCopy15Row" localSheetId="3" hidden="1">[16]XREF!#REF!</definedName>
    <definedName name="XRefCopy15Row" localSheetId="2" hidden="1">[16]XREF!#REF!</definedName>
    <definedName name="XRefCopy15Row" hidden="1">[16]XREF!#REF!</definedName>
    <definedName name="XRefCopy16" localSheetId="4" hidden="1">#REF!</definedName>
    <definedName name="XRefCopy16" localSheetId="3" hidden="1">#REF!</definedName>
    <definedName name="XRefCopy16" localSheetId="2" hidden="1">#REF!</definedName>
    <definedName name="XRefCopy16" hidden="1">#REF!</definedName>
    <definedName name="XRefCopy16Row" localSheetId="4" hidden="1">[16]XREF!#REF!</definedName>
    <definedName name="XRefCopy16Row" localSheetId="3" hidden="1">[16]XREF!#REF!</definedName>
    <definedName name="XRefCopy16Row" localSheetId="2" hidden="1">[16]XREF!#REF!</definedName>
    <definedName name="XRefCopy16Row" hidden="1">[16]XREF!#REF!</definedName>
    <definedName name="XRefCopy17Row" localSheetId="4" hidden="1">[16]XREF!#REF!</definedName>
    <definedName name="XRefCopy17Row" localSheetId="3" hidden="1">[16]XREF!#REF!</definedName>
    <definedName name="XRefCopy17Row" localSheetId="2" hidden="1">[16]XREF!#REF!</definedName>
    <definedName name="XRefCopy17Row" hidden="1">[16]XREF!#REF!</definedName>
    <definedName name="XRefCopy18" localSheetId="4" hidden="1">[17]CXC!#REF!</definedName>
    <definedName name="XRefCopy18" localSheetId="3" hidden="1">[17]CXC!#REF!</definedName>
    <definedName name="XRefCopy18" localSheetId="2" hidden="1">[17]CXC!#REF!</definedName>
    <definedName name="XRefCopy18" hidden="1">[17]CXC!#REF!</definedName>
    <definedName name="XRefCopy18Row" localSheetId="4" hidden="1">#REF!</definedName>
    <definedName name="XRefCopy18Row" localSheetId="3" hidden="1">#REF!</definedName>
    <definedName name="XRefCopy18Row" localSheetId="2" hidden="1">#REF!</definedName>
    <definedName name="XRefCopy18Row" hidden="1">#REF!</definedName>
    <definedName name="XRefCopy19" localSheetId="4" hidden="1">[18]CxP!#REF!</definedName>
    <definedName name="XRefCopy19" localSheetId="3" hidden="1">[18]CxP!#REF!</definedName>
    <definedName name="XRefCopy19" localSheetId="2" hidden="1">[18]CxP!#REF!</definedName>
    <definedName name="XRefCopy19" hidden="1">[18]CxP!#REF!</definedName>
    <definedName name="XRefCopy19Row" localSheetId="4" hidden="1">#REF!</definedName>
    <definedName name="XRefCopy19Row" localSheetId="3" hidden="1">#REF!</definedName>
    <definedName name="XRefCopy19Row" localSheetId="2" hidden="1">#REF!</definedName>
    <definedName name="XRefCopy19Row" hidden="1">#REF!</definedName>
    <definedName name="XRefCopy1Row" localSheetId="4" hidden="1">#REF!</definedName>
    <definedName name="XRefCopy1Row" localSheetId="3" hidden="1">#REF!</definedName>
    <definedName name="XRefCopy1Row" localSheetId="2" hidden="1">#REF!</definedName>
    <definedName name="XRefCopy1Row" hidden="1">#REF!</definedName>
    <definedName name="XRefCopy2" localSheetId="4" hidden="1">'[15]Cálculo Detallado'!#REF!</definedName>
    <definedName name="XRefCopy2" localSheetId="3" hidden="1">'[15]Cálculo Detallado'!#REF!</definedName>
    <definedName name="XRefCopy2" localSheetId="2" hidden="1">'[15]Cálculo Detallado'!#REF!</definedName>
    <definedName name="XRefCopy2" hidden="1">'[15]Cálculo Detallado'!#REF!</definedName>
    <definedName name="XRefCopy20" localSheetId="4" hidden="1">#REF!</definedName>
    <definedName name="XRefCopy20" localSheetId="3" hidden="1">#REF!</definedName>
    <definedName name="XRefCopy20" localSheetId="2" hidden="1">#REF!</definedName>
    <definedName name="XRefCopy20" hidden="1">#REF!</definedName>
    <definedName name="XRefCopy20Row" localSheetId="4" hidden="1">#REF!</definedName>
    <definedName name="XRefCopy20Row" localSheetId="3" hidden="1">#REF!</definedName>
    <definedName name="XRefCopy20Row" localSheetId="2" hidden="1">#REF!</definedName>
    <definedName name="XRefCopy20Row" hidden="1">#REF!</definedName>
    <definedName name="XRefCopy21" localSheetId="4" hidden="1">#REF!</definedName>
    <definedName name="XRefCopy21" localSheetId="3" hidden="1">#REF!</definedName>
    <definedName name="XRefCopy21" localSheetId="2" hidden="1">#REF!</definedName>
    <definedName name="XRefCopy21" hidden="1">#REF!</definedName>
    <definedName name="XRefCopy21Row" localSheetId="4" hidden="1">#REF!</definedName>
    <definedName name="XRefCopy21Row" localSheetId="3" hidden="1">#REF!</definedName>
    <definedName name="XRefCopy21Row" hidden="1">#REF!</definedName>
    <definedName name="XRefCopy22" localSheetId="4" hidden="1">#REF!</definedName>
    <definedName name="XRefCopy22" localSheetId="3" hidden="1">#REF!</definedName>
    <definedName name="XRefCopy22" hidden="1">#REF!</definedName>
    <definedName name="XRefCopy22Row" localSheetId="4" hidden="1">#REF!</definedName>
    <definedName name="XRefCopy22Row" localSheetId="3" hidden="1">#REF!</definedName>
    <definedName name="XRefCopy22Row" hidden="1">#REF!</definedName>
    <definedName name="XRefCopy23" localSheetId="4" hidden="1">#REF!</definedName>
    <definedName name="XRefCopy23" localSheetId="3" hidden="1">#REF!</definedName>
    <definedName name="XRefCopy23" hidden="1">#REF!</definedName>
    <definedName name="XRefCopy23Row" localSheetId="4" hidden="1">[16]XREF!#REF!</definedName>
    <definedName name="XRefCopy23Row" localSheetId="3" hidden="1">[16]XREF!#REF!</definedName>
    <definedName name="XRefCopy23Row" localSheetId="2" hidden="1">[16]XREF!#REF!</definedName>
    <definedName name="XRefCopy23Row" hidden="1">[16]XREF!#REF!</definedName>
    <definedName name="XRefCopy24" localSheetId="4" hidden="1">'[10]D. VARIOS (1380)'!#REF!</definedName>
    <definedName name="XRefCopy24" localSheetId="3" hidden="1">'[10]D. VARIOS (1380)'!#REF!</definedName>
    <definedName name="XRefCopy24" localSheetId="2" hidden="1">'[10]D. VARIOS (1380)'!#REF!</definedName>
    <definedName name="XRefCopy24" hidden="1">'[10]D. VARIOS (1380)'!#REF!</definedName>
    <definedName name="XRefCopy24Row" localSheetId="4" hidden="1">#REF!</definedName>
    <definedName name="XRefCopy24Row" localSheetId="3" hidden="1">#REF!</definedName>
    <definedName name="XRefCopy24Row" localSheetId="2" hidden="1">#REF!</definedName>
    <definedName name="XRefCopy24Row" hidden="1">#REF!</definedName>
    <definedName name="XRefCopy25" localSheetId="4" hidden="1">#REF!</definedName>
    <definedName name="XRefCopy25" localSheetId="3" hidden="1">#REF!</definedName>
    <definedName name="XRefCopy25" localSheetId="2" hidden="1">#REF!</definedName>
    <definedName name="XRefCopy25" hidden="1">#REF!</definedName>
    <definedName name="XRefCopy25Row" localSheetId="4" hidden="1">#REF!</definedName>
    <definedName name="XRefCopy25Row" localSheetId="3" hidden="1">#REF!</definedName>
    <definedName name="XRefCopy25Row" localSheetId="2" hidden="1">#REF!</definedName>
    <definedName name="XRefCopy25Row" hidden="1">#REF!</definedName>
    <definedName name="XRefCopy26" localSheetId="4" hidden="1">'[14]Prueba Global Act Fijos'!#REF!</definedName>
    <definedName name="XRefCopy26" localSheetId="3" hidden="1">'[14]Prueba Global Act Fijos'!#REF!</definedName>
    <definedName name="XRefCopy26" localSheetId="2" hidden="1">'[14]Prueba Global Act Fijos'!#REF!</definedName>
    <definedName name="XRefCopy26" hidden="1">'[14]Prueba Global Act Fijos'!#REF!</definedName>
    <definedName name="XRefCopy26Row" localSheetId="4" hidden="1">#REF!</definedName>
    <definedName name="XRefCopy26Row" localSheetId="3" hidden="1">#REF!</definedName>
    <definedName name="XRefCopy26Row" localSheetId="2" hidden="1">#REF!</definedName>
    <definedName name="XRefCopy26Row" hidden="1">#REF!</definedName>
    <definedName name="XRefCopy27" localSheetId="4" hidden="1">#REF!</definedName>
    <definedName name="XRefCopy27" localSheetId="3" hidden="1">#REF!</definedName>
    <definedName name="XRefCopy27" localSheetId="2" hidden="1">#REF!</definedName>
    <definedName name="XRefCopy27" hidden="1">#REF!</definedName>
    <definedName name="XRefCopy28" localSheetId="4" hidden="1">#REF!</definedName>
    <definedName name="XRefCopy28" localSheetId="3" hidden="1">#REF!</definedName>
    <definedName name="XRefCopy28" localSheetId="2" hidden="1">#REF!</definedName>
    <definedName name="XRefCopy28" hidden="1">#REF!</definedName>
    <definedName name="XRefCopy28Row" localSheetId="4" hidden="1">#REF!</definedName>
    <definedName name="XRefCopy28Row" localSheetId="3" hidden="1">#REF!</definedName>
    <definedName name="XRefCopy28Row" hidden="1">#REF!</definedName>
    <definedName name="XRefCopy2Row" localSheetId="4" hidden="1">#REF!</definedName>
    <definedName name="XRefCopy2Row" localSheetId="3" hidden="1">#REF!</definedName>
    <definedName name="XRefCopy2Row" hidden="1">#REF!</definedName>
    <definedName name="XRefCopy3" localSheetId="4" hidden="1">'[15]Cálculo Detallado'!#REF!</definedName>
    <definedName name="XRefCopy3" localSheetId="3" hidden="1">'[15]Cálculo Detallado'!#REF!</definedName>
    <definedName name="XRefCopy3" localSheetId="2" hidden="1">'[15]Cálculo Detallado'!#REF!</definedName>
    <definedName name="XRefCopy3" hidden="1">'[15]Cálculo Detallado'!#REF!</definedName>
    <definedName name="XRefCopy30Row" localSheetId="4" hidden="1">#REF!</definedName>
    <definedName name="XRefCopy30Row" localSheetId="3" hidden="1">#REF!</definedName>
    <definedName name="XRefCopy30Row" localSheetId="2" hidden="1">#REF!</definedName>
    <definedName name="XRefCopy30Row" hidden="1">#REF!</definedName>
    <definedName name="XRefCopy3Row" localSheetId="4" hidden="1">#REF!</definedName>
    <definedName name="XRefCopy3Row" localSheetId="3" hidden="1">#REF!</definedName>
    <definedName name="XRefCopy3Row" localSheetId="2" hidden="1">#REF!</definedName>
    <definedName name="XRefCopy3Row" hidden="1">#REF!</definedName>
    <definedName name="XRefCopy4" localSheetId="4" hidden="1">'[15]Cálculo Detallado'!#REF!</definedName>
    <definedName name="XRefCopy4" localSheetId="3" hidden="1">'[15]Cálculo Detallado'!#REF!</definedName>
    <definedName name="XRefCopy4" localSheetId="2" hidden="1">'[15]Cálculo Detallado'!#REF!</definedName>
    <definedName name="XRefCopy4" hidden="1">'[15]Cálculo Detallado'!#REF!</definedName>
    <definedName name="XRefCopy4Row" localSheetId="4" hidden="1">#REF!</definedName>
    <definedName name="XRefCopy4Row" localSheetId="3" hidden="1">#REF!</definedName>
    <definedName name="XRefCopy4Row" localSheetId="2" hidden="1">#REF!</definedName>
    <definedName name="XRefCopy4Row" hidden="1">#REF!</definedName>
    <definedName name="XRefCopy5" localSheetId="4" hidden="1">'[15]Cálculo Detallado'!#REF!</definedName>
    <definedName name="XRefCopy5" localSheetId="3" hidden="1">'[15]Cálculo Detallado'!#REF!</definedName>
    <definedName name="XRefCopy5" localSheetId="2" hidden="1">'[15]Cálculo Detallado'!#REF!</definedName>
    <definedName name="XRefCopy5" hidden="1">'[15]Cálculo Detallado'!#REF!</definedName>
    <definedName name="XRefCopy5Row" localSheetId="4" hidden="1">#REF!</definedName>
    <definedName name="XRefCopy5Row" localSheetId="3" hidden="1">#REF!</definedName>
    <definedName name="XRefCopy5Row" localSheetId="2" hidden="1">#REF!</definedName>
    <definedName name="XRefCopy5Row" hidden="1">#REF!</definedName>
    <definedName name="XRefCopy6" localSheetId="4" hidden="1">#REF!</definedName>
    <definedName name="XRefCopy6" localSheetId="3" hidden="1">#REF!</definedName>
    <definedName name="XRefCopy6" localSheetId="2" hidden="1">#REF!</definedName>
    <definedName name="XRefCopy6" hidden="1">#REF!</definedName>
    <definedName name="XRefCopy6Row" localSheetId="4" hidden="1">#REF!</definedName>
    <definedName name="XRefCopy6Row" localSheetId="3" hidden="1">#REF!</definedName>
    <definedName name="XRefCopy6Row" localSheetId="2" hidden="1">#REF!</definedName>
    <definedName name="XRefCopy6Row" hidden="1">#REF!</definedName>
    <definedName name="XRefCopy7" localSheetId="4" hidden="1">#REF!</definedName>
    <definedName name="XRefCopy7" localSheetId="3" hidden="1">#REF!</definedName>
    <definedName name="XRefCopy7" hidden="1">#REF!</definedName>
    <definedName name="XRefCopy7Row" localSheetId="4" hidden="1">#REF!</definedName>
    <definedName name="XRefCopy7Row" localSheetId="3" hidden="1">#REF!</definedName>
    <definedName name="XRefCopy7Row" hidden="1">#REF!</definedName>
    <definedName name="XRefCopy8" hidden="1">'[15]Cálculo Detallado'!$H$33</definedName>
    <definedName name="XRefCopy8Row" localSheetId="4" hidden="1">#REF!</definedName>
    <definedName name="XRefCopy8Row" localSheetId="3" hidden="1">#REF!</definedName>
    <definedName name="XRefCopy8Row" localSheetId="2" hidden="1">#REF!</definedName>
    <definedName name="XRefCopy8Row" hidden="1">#REF!</definedName>
    <definedName name="XRefCopy9" localSheetId="4" hidden="1">'[15]Cálculo Detallado'!#REF!</definedName>
    <definedName name="XRefCopy9" localSheetId="3" hidden="1">'[15]Cálculo Detallado'!#REF!</definedName>
    <definedName name="XRefCopy9" localSheetId="2" hidden="1">'[15]Cálculo Detallado'!#REF!</definedName>
    <definedName name="XRefCopy9" hidden="1">'[15]Cálculo Detallado'!#REF!</definedName>
    <definedName name="XRefCopy9Row" localSheetId="4" hidden="1">#REF!</definedName>
    <definedName name="XRefCopy9Row" localSheetId="3" hidden="1">#REF!</definedName>
    <definedName name="XRefCopy9Row" localSheetId="2" hidden="1">#REF!</definedName>
    <definedName name="XRefCopy9Row" hidden="1">#REF!</definedName>
    <definedName name="XRefCopyRangeCount" hidden="1">1</definedName>
    <definedName name="XRefPaste1" localSheetId="4" hidden="1">#REF!</definedName>
    <definedName name="XRefPaste1" localSheetId="3" hidden="1">#REF!</definedName>
    <definedName name="XRefPaste1" localSheetId="2" hidden="1">#REF!</definedName>
    <definedName name="XRefPaste1" hidden="1">#REF!</definedName>
    <definedName name="XRefPaste10" localSheetId="4" hidden="1">#REF!</definedName>
    <definedName name="XRefPaste10" localSheetId="3" hidden="1">#REF!</definedName>
    <definedName name="XRefPaste10" localSheetId="2" hidden="1">#REF!</definedName>
    <definedName name="XRefPaste10" hidden="1">#REF!</definedName>
    <definedName name="XRefPaste10Row" localSheetId="4" hidden="1">#REF!</definedName>
    <definedName name="XRefPaste10Row" localSheetId="3" hidden="1">#REF!</definedName>
    <definedName name="XRefPaste10Row" hidden="1">#REF!</definedName>
    <definedName name="XRefPaste11" localSheetId="4" hidden="1">#REF!</definedName>
    <definedName name="XRefPaste11" localSheetId="3" hidden="1">#REF!</definedName>
    <definedName name="XRefPaste11" hidden="1">#REF!</definedName>
    <definedName name="XRefPaste11Row" localSheetId="4" hidden="1">#REF!</definedName>
    <definedName name="XRefPaste11Row" localSheetId="3" hidden="1">#REF!</definedName>
    <definedName name="XRefPaste11Row" hidden="1">#REF!</definedName>
    <definedName name="XRefPaste12" localSheetId="4" hidden="1">#REF!</definedName>
    <definedName name="XRefPaste12" localSheetId="3" hidden="1">#REF!</definedName>
    <definedName name="XRefPaste12" hidden="1">#REF!</definedName>
    <definedName name="XRefPaste12Row" localSheetId="4" hidden="1">#REF!</definedName>
    <definedName name="XRefPaste12Row" localSheetId="3" hidden="1">#REF!</definedName>
    <definedName name="XRefPaste12Row" hidden="1">#REF!</definedName>
    <definedName name="XRefPaste13" localSheetId="4" hidden="1">#REF!</definedName>
    <definedName name="XRefPaste13" localSheetId="3" hidden="1">#REF!</definedName>
    <definedName name="XRefPaste13" hidden="1">#REF!</definedName>
    <definedName name="XRefPaste13Row" localSheetId="4" hidden="1">#REF!</definedName>
    <definedName name="XRefPaste13Row" localSheetId="3" hidden="1">#REF!</definedName>
    <definedName name="XRefPaste13Row" hidden="1">#REF!</definedName>
    <definedName name="XRefPaste14" localSheetId="4" hidden="1">#REF!</definedName>
    <definedName name="XRefPaste14" localSheetId="3" hidden="1">#REF!</definedName>
    <definedName name="XRefPaste14" hidden="1">#REF!</definedName>
    <definedName name="XRefPaste14Row" localSheetId="4" hidden="1">#REF!</definedName>
    <definedName name="XRefPaste14Row" localSheetId="3" hidden="1">#REF!</definedName>
    <definedName name="XRefPaste14Row" hidden="1">#REF!</definedName>
    <definedName name="XRefPaste15Row" localSheetId="4" hidden="1">#REF!</definedName>
    <definedName name="XRefPaste15Row" localSheetId="3" hidden="1">#REF!</definedName>
    <definedName name="XRefPaste15Row" hidden="1">#REF!</definedName>
    <definedName name="XRefPaste16" localSheetId="4" hidden="1">#REF!</definedName>
    <definedName name="XRefPaste16" localSheetId="3" hidden="1">#REF!</definedName>
    <definedName name="XRefPaste16" hidden="1">#REF!</definedName>
    <definedName name="XRefPaste16Row" localSheetId="4" hidden="1">#REF!</definedName>
    <definedName name="XRefPaste16Row" localSheetId="3" hidden="1">#REF!</definedName>
    <definedName name="XRefPaste16Row" hidden="1">#REF!</definedName>
    <definedName name="XRefPaste17" localSheetId="4" hidden="1">#REF!</definedName>
    <definedName name="XRefPaste17" localSheetId="3" hidden="1">#REF!</definedName>
    <definedName name="XRefPaste17" hidden="1">#REF!</definedName>
    <definedName name="XRefPaste17Row" localSheetId="4" hidden="1">#REF!</definedName>
    <definedName name="XRefPaste17Row" localSheetId="3" hidden="1">#REF!</definedName>
    <definedName name="XRefPaste17Row" hidden="1">#REF!</definedName>
    <definedName name="XRefPaste18" localSheetId="4" hidden="1">#REF!</definedName>
    <definedName name="XRefPaste18" localSheetId="3" hidden="1">#REF!</definedName>
    <definedName name="XRefPaste18" hidden="1">#REF!</definedName>
    <definedName name="XRefPaste18Row" localSheetId="4" hidden="1">#REF!</definedName>
    <definedName name="XRefPaste18Row" localSheetId="3" hidden="1">#REF!</definedName>
    <definedName name="XRefPaste18Row" hidden="1">#REF!</definedName>
    <definedName name="XRefPaste19" localSheetId="4" hidden="1">#REF!</definedName>
    <definedName name="XRefPaste19" localSheetId="3" hidden="1">#REF!</definedName>
    <definedName name="XRefPaste19" hidden="1">#REF!</definedName>
    <definedName name="XRefPaste19Row" localSheetId="4" hidden="1">#REF!</definedName>
    <definedName name="XRefPaste19Row" localSheetId="3" hidden="1">#REF!</definedName>
    <definedName name="XRefPaste19Row" hidden="1">#REF!</definedName>
    <definedName name="XRefPaste1Row" localSheetId="4" hidden="1">#REF!</definedName>
    <definedName name="XRefPaste1Row" localSheetId="3" hidden="1">#REF!</definedName>
    <definedName name="XRefPaste1Row" hidden="1">#REF!</definedName>
    <definedName name="XRefPaste2" localSheetId="4" hidden="1">#REF!</definedName>
    <definedName name="XRefPaste2" localSheetId="3" hidden="1">#REF!</definedName>
    <definedName name="XRefPaste2" hidden="1">#REF!</definedName>
    <definedName name="XRefPaste20Row" localSheetId="4" hidden="1">#REF!</definedName>
    <definedName name="XRefPaste20Row" localSheetId="3" hidden="1">#REF!</definedName>
    <definedName name="XRefPaste20Row" hidden="1">#REF!</definedName>
    <definedName name="XRefPaste21Row" localSheetId="4" hidden="1">#REF!</definedName>
    <definedName name="XRefPaste21Row" localSheetId="3" hidden="1">#REF!</definedName>
    <definedName name="XRefPaste21Row" hidden="1">#REF!</definedName>
    <definedName name="XRefPaste22Row" localSheetId="4" hidden="1">#REF!</definedName>
    <definedName name="XRefPaste22Row" localSheetId="3" hidden="1">#REF!</definedName>
    <definedName name="XRefPaste22Row" hidden="1">#REF!</definedName>
    <definedName name="XRefPaste23Row" localSheetId="4" hidden="1">#REF!</definedName>
    <definedName name="XRefPaste23Row" localSheetId="3" hidden="1">#REF!</definedName>
    <definedName name="XRefPaste23Row" hidden="1">#REF!</definedName>
    <definedName name="XRefPaste24" localSheetId="4" hidden="1">#REF!</definedName>
    <definedName name="XRefPaste24" localSheetId="3" hidden="1">#REF!</definedName>
    <definedName name="XRefPaste24" hidden="1">#REF!</definedName>
    <definedName name="XRefPaste24Row" localSheetId="4" hidden="1">#REF!</definedName>
    <definedName name="XRefPaste24Row" localSheetId="3" hidden="1">#REF!</definedName>
    <definedName name="XRefPaste24Row" hidden="1">#REF!</definedName>
    <definedName name="XRefPaste2Row" localSheetId="4" hidden="1">#REF!</definedName>
    <definedName name="XRefPaste2Row" localSheetId="3" hidden="1">#REF!</definedName>
    <definedName name="XRefPaste2Row" hidden="1">#REF!</definedName>
    <definedName name="XRefPaste3" localSheetId="4" hidden="1">#REF!</definedName>
    <definedName name="XRefPaste3" localSheetId="3" hidden="1">#REF!</definedName>
    <definedName name="XRefPaste3" hidden="1">#REF!</definedName>
    <definedName name="XRefPaste3Row" localSheetId="4" hidden="1">#REF!</definedName>
    <definedName name="XRefPaste3Row" localSheetId="3" hidden="1">#REF!</definedName>
    <definedName name="XRefPaste3Row" hidden="1">#REF!</definedName>
    <definedName name="XRefPaste4" localSheetId="4" hidden="1">[18]CxP!#REF!</definedName>
    <definedName name="XRefPaste4" localSheetId="3" hidden="1">[18]CxP!#REF!</definedName>
    <definedName name="XRefPaste4" localSheetId="2" hidden="1">[18]CxP!#REF!</definedName>
    <definedName name="XRefPaste4" hidden="1">[18]CxP!#REF!</definedName>
    <definedName name="XRefPaste4Row" localSheetId="4" hidden="1">#REF!</definedName>
    <definedName name="XRefPaste4Row" localSheetId="3" hidden="1">#REF!</definedName>
    <definedName name="XRefPaste4Row" localSheetId="2" hidden="1">#REF!</definedName>
    <definedName name="XRefPaste4Row" hidden="1">#REF!</definedName>
    <definedName name="XRefPaste5" localSheetId="4" hidden="1">[17]CXC!#REF!</definedName>
    <definedName name="XRefPaste5" localSheetId="3" hidden="1">[17]CXC!#REF!</definedName>
    <definedName name="XRefPaste5" localSheetId="2" hidden="1">[17]CXC!#REF!</definedName>
    <definedName name="XRefPaste5" hidden="1">[17]CXC!#REF!</definedName>
    <definedName name="XRefPaste5Row" localSheetId="4" hidden="1">#REF!</definedName>
    <definedName name="XRefPaste5Row" localSheetId="3" hidden="1">#REF!</definedName>
    <definedName name="XRefPaste5Row" localSheetId="2" hidden="1">#REF!</definedName>
    <definedName name="XRefPaste5Row" hidden="1">#REF!</definedName>
    <definedName name="XRefPaste6" localSheetId="4" hidden="1">#REF!</definedName>
    <definedName name="XRefPaste6" localSheetId="3" hidden="1">#REF!</definedName>
    <definedName name="XRefPaste6" localSheetId="2" hidden="1">#REF!</definedName>
    <definedName name="XRefPaste6" hidden="1">#REF!</definedName>
    <definedName name="XRefPaste6Row" localSheetId="4" hidden="1">#REF!</definedName>
    <definedName name="XRefPaste6Row" localSheetId="3" hidden="1">#REF!</definedName>
    <definedName name="XRefPaste6Row" localSheetId="2" hidden="1">#REF!</definedName>
    <definedName name="XRefPaste6Row" hidden="1">#REF!</definedName>
    <definedName name="XRefPaste7" localSheetId="4" hidden="1">#REF!</definedName>
    <definedName name="XRefPaste7" localSheetId="3" hidden="1">#REF!</definedName>
    <definedName name="XRefPaste7" hidden="1">#REF!</definedName>
    <definedName name="XRefPaste7Row" localSheetId="4" hidden="1">#REF!</definedName>
    <definedName name="XRefPaste7Row" localSheetId="3" hidden="1">#REF!</definedName>
    <definedName name="XRefPaste7Row" hidden="1">#REF!</definedName>
    <definedName name="XRefPaste8" localSheetId="4" hidden="1">#REF!</definedName>
    <definedName name="XRefPaste8" localSheetId="3" hidden="1">#REF!</definedName>
    <definedName name="XRefPaste8" hidden="1">#REF!</definedName>
    <definedName name="XRefPaste8Row" localSheetId="4" hidden="1">#REF!</definedName>
    <definedName name="XRefPaste8Row" localSheetId="3" hidden="1">#REF!</definedName>
    <definedName name="XRefPaste8Row" hidden="1">#REF!</definedName>
    <definedName name="XRefPaste9" localSheetId="4" hidden="1">#REF!</definedName>
    <definedName name="XRefPaste9" localSheetId="3" hidden="1">#REF!</definedName>
    <definedName name="XRefPaste9" hidden="1">#REF!</definedName>
    <definedName name="XRefPaste9Row" localSheetId="4" hidden="1">#REF!</definedName>
    <definedName name="XRefPaste9Row" localSheetId="3" hidden="1">#REF!</definedName>
    <definedName name="XRefPaste9Row" hidden="1">#REF!</definedName>
    <definedName name="XRefPasteRangeCount" hidden="1">1</definedName>
    <definedName name="XXX" localSheetId="6" hidden="1">{#N/A,#N/A,FALSE,"balance";#N/A,#N/A,FALSE,"PYG"}</definedName>
    <definedName name="XXX" localSheetId="1" hidden="1">{#N/A,#N/A,FALSE,"balance";#N/A,#N/A,FALSE,"PYG"}</definedName>
    <definedName name="XXX" localSheetId="4" hidden="1">{#N/A,#N/A,FALSE,"balance";#N/A,#N/A,FALSE,"PYG"}</definedName>
    <definedName name="XXX" localSheetId="0" hidden="1">{#N/A,#N/A,FALSE,"balance";#N/A,#N/A,FALSE,"PYG"}</definedName>
    <definedName name="XXX" localSheetId="3" hidden="1">{#N/A,#N/A,FALSE,"balance";#N/A,#N/A,FALSE,"PYG"}</definedName>
    <definedName name="XXX" localSheetId="2" hidden="1">{#N/A,#N/A,FALSE,"balance";#N/A,#N/A,FALSE,"PYG"}</definedName>
    <definedName name="XXX" localSheetId="5" hidden="1">{#N/A,#N/A,FALSE,"balance";#N/A,#N/A,FALSE,"PYG"}</definedName>
    <definedName name="XXX" localSheetId="7" hidden="1">{#N/A,#N/A,FALSE,"balance";#N/A,#N/A,FALSE,"PYG"}</definedName>
    <definedName name="XXX" hidden="1">{#N/A,#N/A,FALSE,"balance";#N/A,#N/A,FALSE,"PYG"}</definedName>
    <definedName name="XXXDE" hidden="1">{#N/A,#N/A,FALSE,"Aging Summary";#N/A,#N/A,FALSE,"Ratio Analysis";#N/A,#N/A,FALSE,"Test 120 Day Accts";#N/A,#N/A,FALSE,"Tickmarks"}</definedName>
    <definedName name="XXXX" localSheetId="4" hidden="1">{#N/A,#N/A,FALSE,"Aging Summary";#N/A,#N/A,FALSE,"Ratio Analysis";#N/A,#N/A,FALSE,"Test 120 Day Accts";#N/A,#N/A,FALSE,"Tickmarks"}</definedName>
    <definedName name="XXXX" localSheetId="3" hidden="1">{#N/A,#N/A,FALSE,"Aging Summary";#N/A,#N/A,FALSE,"Ratio Analysis";#N/A,#N/A,FALSE,"Test 120 Day Accts";#N/A,#N/A,FALSE,"Tickmarks"}</definedName>
    <definedName name="XXXX" localSheetId="2" hidden="1">{#N/A,#N/A,FALSE,"Aging Summary";#N/A,#N/A,FALSE,"Ratio Analysis";#N/A,#N/A,FALSE,"Test 120 Day Accts";#N/A,#N/A,FALSE,"Tickmarks"}</definedName>
    <definedName name="XXXX" hidden="1">{#N/A,#N/A,FALSE,"Aging Summary";#N/A,#N/A,FALSE,"Ratio Analysis";#N/A,#N/A,FALSE,"Test 120 Day Accts";#N/A,#N/A,FALSE,"Tickmarks"}</definedName>
    <definedName name="xxxxxx" localSheetId="4" hidden="1">{#N/A,#N/A,FALSE,"Aging Summary";#N/A,#N/A,FALSE,"Ratio Analysis";#N/A,#N/A,FALSE,"Test 120 Day Accts";#N/A,#N/A,FALSE,"Tickmarks"}</definedName>
    <definedName name="xxxxxx" localSheetId="3" hidden="1">{#N/A,#N/A,FALSE,"Aging Summary";#N/A,#N/A,FALSE,"Ratio Analysis";#N/A,#N/A,FALSE,"Test 120 Day Accts";#N/A,#N/A,FALSE,"Tickmarks"}</definedName>
    <definedName name="xxxxxx" localSheetId="2" hidden="1">{#N/A,#N/A,FALSE,"Aging Summary";#N/A,#N/A,FALSE,"Ratio Analysis";#N/A,#N/A,FALSE,"Test 120 Day Accts";#N/A,#N/A,FALSE,"Tickmarks"}</definedName>
    <definedName name="xxxxxx" hidden="1">{#N/A,#N/A,FALSE,"Aging Summary";#N/A,#N/A,FALSE,"Ratio Analysis";#N/A,#N/A,FALSE,"Test 120 Day Accts";#N/A,#N/A,FALSE,"Tickmarks"}</definedName>
    <definedName name="xxxxxxxxxxxx" localSheetId="4" hidden="1">{#N/A,#N/A,FALSE,"Aging Summary";#N/A,#N/A,FALSE,"Ratio Analysis";#N/A,#N/A,FALSE,"Test 120 Day Accts";#N/A,#N/A,FALSE,"Tickmarks"}</definedName>
    <definedName name="xxxxxxxxxxxx" localSheetId="3" hidden="1">{#N/A,#N/A,FALSE,"Aging Summary";#N/A,#N/A,FALSE,"Ratio Analysis";#N/A,#N/A,FALSE,"Test 120 Day Accts";#N/A,#N/A,FALSE,"Tickmarks"}</definedName>
    <definedName name="xxxxxxxxxxxx" localSheetId="2" hidden="1">{#N/A,#N/A,FALSE,"Aging Summary";#N/A,#N/A,FALSE,"Ratio Analysis";#N/A,#N/A,FALSE,"Test 120 Day Accts";#N/A,#N/A,FALSE,"Tickmarks"}</definedName>
    <definedName name="xxxxxxxxxxxx" hidden="1">{#N/A,#N/A,FALSE,"Aging Summary";#N/A,#N/A,FALSE,"Ratio Analysis";#N/A,#N/A,FALSE,"Test 120 Day Accts";#N/A,#N/A,FALSE,"Tickmarks"}</definedName>
    <definedName name="xxxzsd" hidden="1">{#N/A,#N/A,FALSE,"Aging Summary";#N/A,#N/A,FALSE,"Ratio Analysis";#N/A,#N/A,FALSE,"Test 120 Day Accts";#N/A,#N/A,FALSE,"Tickmarks"}</definedName>
    <definedName name="xz" hidden="1">{"PYGS",#N/A,FALSE,"PYG";"ACTIS",#N/A,FALSE,"BCE_GRAL-ACTIVO";"PASIS",#N/A,FALSE,"BCE_GRAL-PASIVO-PATRIM";"CAJAS",#N/A,FALSE,"CAJA"}</definedName>
    <definedName name="xzc" hidden="1">{#N/A,#N/A,FALSE,"Aging Summary";#N/A,#N/A,FALSE,"Ratio Analysis";#N/A,#N/A,FALSE,"Test 120 Day Accts";#N/A,#N/A,FALSE,"Tickmarks"}</definedName>
    <definedName name="Y" localSheetId="4" hidden="1">{#N/A,#N/A,FALSE,"VENTAS";#N/A,#N/A,FALSE,"U. BRUTA";#N/A,#N/A,FALSE,"G. PERSONAL";#N/A,#N/A,FALSE,"G. OPERACION";#N/A,#N/A,FALSE,"G. DEPYAM";#N/A,#N/A,FALSE,"INGRESOS";#N/A,#N/A,FALSE,"G.o P.1";#N/A,#N/A,FALSE,"3%Informe Junta";#N/A,#N/A,FALSE,"P Y G (2)";#N/A,#N/A,FALSE,"CART. PROV.";#N/A,#N/A,FALSE,"Usecmes";#N/A,#N/A,FALSE,"Usecacu"}</definedName>
    <definedName name="Y" localSheetId="3" hidden="1">{#N/A,#N/A,FALSE,"VENTAS";#N/A,#N/A,FALSE,"U. BRUTA";#N/A,#N/A,FALSE,"G. PERSONAL";#N/A,#N/A,FALSE,"G. OPERACION";#N/A,#N/A,FALSE,"G. DEPYAM";#N/A,#N/A,FALSE,"INGRESOS";#N/A,#N/A,FALSE,"G.o P.1";#N/A,#N/A,FALSE,"3%Informe Junta";#N/A,#N/A,FALSE,"P Y G (2)";#N/A,#N/A,FALSE,"CART. PROV.";#N/A,#N/A,FALSE,"Usecmes";#N/A,#N/A,FALSE,"Usecacu"}</definedName>
    <definedName name="Y" localSheetId="2" hidden="1">{#N/A,#N/A,FALSE,"VENTAS";#N/A,#N/A,FALSE,"U. BRUTA";#N/A,#N/A,FALSE,"G. PERSONAL";#N/A,#N/A,FALSE,"G. OPERACION";#N/A,#N/A,FALSE,"G. DEPYAM";#N/A,#N/A,FALSE,"INGRESOS";#N/A,#N/A,FALSE,"G.o P.1";#N/A,#N/A,FALSE,"3%Informe Junta";#N/A,#N/A,FALSE,"P Y G (2)";#N/A,#N/A,FALSE,"CART. PROV.";#N/A,#N/A,FALSE,"Usecmes";#N/A,#N/A,FALSE,"Usecacu"}</definedName>
    <definedName name="Y" hidden="1">{#N/A,#N/A,FALSE,"VENTAS";#N/A,#N/A,FALSE,"U. BRUTA";#N/A,#N/A,FALSE,"G. PERSONAL";#N/A,#N/A,FALSE,"G. OPERACION";#N/A,#N/A,FALSE,"G. DEPYAM";#N/A,#N/A,FALSE,"INGRESOS";#N/A,#N/A,FALSE,"G.o P.1";#N/A,#N/A,FALSE,"3%Informe Junta";#N/A,#N/A,FALSE,"P Y G (2)";#N/A,#N/A,FALSE,"CART. PROV.";#N/A,#N/A,FALSE,"Usecmes";#N/A,#N/A,FALSE,"Usecacu"}</definedName>
    <definedName name="yema" hidden="1">{#N/A,#N/A,FALSE,"Aging Summary";#N/A,#N/A,FALSE,"Ratio Analysis";#N/A,#N/A,FALSE,"Test 120 Day Accts";#N/A,#N/A,FALSE,"Tickmarks"}</definedName>
    <definedName name="YO" localSheetId="4" hidden="1">{#N/A,#N/A,FALSE,"GRAFICO";#N/A,#N/A,FALSE,"CAJA (2)";#N/A,#N/A,FALSE,"TERCEROS-PROMEDIO";#N/A,#N/A,FALSE,"CAJA";#N/A,#N/A,FALSE,"INGRESOS1995-2003";#N/A,#N/A,FALSE,"GASTOS1995-2003"}</definedName>
    <definedName name="YO" localSheetId="3" hidden="1">{#N/A,#N/A,FALSE,"GRAFICO";#N/A,#N/A,FALSE,"CAJA (2)";#N/A,#N/A,FALSE,"TERCEROS-PROMEDIO";#N/A,#N/A,FALSE,"CAJA";#N/A,#N/A,FALSE,"INGRESOS1995-2003";#N/A,#N/A,FALSE,"GASTOS1995-2003"}</definedName>
    <definedName name="YO" localSheetId="2" hidden="1">{#N/A,#N/A,FALSE,"GRAFICO";#N/A,#N/A,FALSE,"CAJA (2)";#N/A,#N/A,FALSE,"TERCEROS-PROMEDIO";#N/A,#N/A,FALSE,"CAJA";#N/A,#N/A,FALSE,"INGRESOS1995-2003";#N/A,#N/A,FALSE,"GASTOS1995-2003"}</definedName>
    <definedName name="YO" hidden="1">{#N/A,#N/A,FALSE,"GRAFICO";#N/A,#N/A,FALSE,"CAJA (2)";#N/A,#N/A,FALSE,"TERCEROS-PROMEDIO";#N/A,#N/A,FALSE,"CAJA";#N/A,#N/A,FALSE,"INGRESOS1995-2003";#N/A,#N/A,FALSE,"GASTOS1995-2003"}</definedName>
    <definedName name="yt" hidden="1">{#N/A,#N/A,FALSE,"Aging Summary";#N/A,#N/A,FALSE,"Ratio Analysis";#N/A,#N/A,FALSE,"Test 120 Day Accts";#N/A,#N/A,FALSE,"Tickmarks"}</definedName>
    <definedName name="YTG" hidden="1">{#N/A,#N/A,FALSE,"Aging Summary";#N/A,#N/A,FALSE,"Ratio Analysis";#N/A,#N/A,FALSE,"Test 120 Day Accts";#N/A,#N/A,FALSE,"Tickmarks"}</definedName>
    <definedName name="YTYR" hidden="1">{#N/A,#N/A,FALSE,"Aging Summary";#N/A,#N/A,FALSE,"Ratio Analysis";#N/A,#N/A,FALSE,"Test 120 Day Accts";#N/A,#N/A,FALSE,"Tickmarks"}</definedName>
    <definedName name="yuftfyf" localSheetId="6" hidden="1">{#N/A,#N/A,FALSE,"balance";#N/A,#N/A,FALSE,"PYG"}</definedName>
    <definedName name="yuftfyf" localSheetId="1" hidden="1">{#N/A,#N/A,FALSE,"balance";#N/A,#N/A,FALSE,"PYG"}</definedName>
    <definedName name="yuftfyf" localSheetId="4" hidden="1">{#N/A,#N/A,FALSE,"balance";#N/A,#N/A,FALSE,"PYG"}</definedName>
    <definedName name="yuftfyf" localSheetId="0" hidden="1">{#N/A,#N/A,FALSE,"balance";#N/A,#N/A,FALSE,"PYG"}</definedName>
    <definedName name="yuftfyf" localSheetId="3" hidden="1">{#N/A,#N/A,FALSE,"balance";#N/A,#N/A,FALSE,"PYG"}</definedName>
    <definedName name="yuftfyf" localSheetId="2" hidden="1">{#N/A,#N/A,FALSE,"balance";#N/A,#N/A,FALSE,"PYG"}</definedName>
    <definedName name="yuftfyf" localSheetId="5" hidden="1">{#N/A,#N/A,FALSE,"balance";#N/A,#N/A,FALSE,"PYG"}</definedName>
    <definedName name="yuftfyf" localSheetId="7" hidden="1">{#N/A,#N/A,FALSE,"balance";#N/A,#N/A,FALSE,"PYG"}</definedName>
    <definedName name="yuftfyf" hidden="1">{#N/A,#N/A,FALSE,"balance";#N/A,#N/A,FALSE,"PYG"}</definedName>
    <definedName name="yugdnk" localSheetId="6" hidden="1">{#N/A,#N/A,FALSE,"balance";#N/A,#N/A,FALSE,"PYG"}</definedName>
    <definedName name="yugdnk" localSheetId="1" hidden="1">{#N/A,#N/A,FALSE,"balance";#N/A,#N/A,FALSE,"PYG"}</definedName>
    <definedName name="yugdnk" localSheetId="4" hidden="1">{#N/A,#N/A,FALSE,"balance";#N/A,#N/A,FALSE,"PYG"}</definedName>
    <definedName name="yugdnk" localSheetId="0" hidden="1">{#N/A,#N/A,FALSE,"balance";#N/A,#N/A,FALSE,"PYG"}</definedName>
    <definedName name="yugdnk" localSheetId="3" hidden="1">{#N/A,#N/A,FALSE,"balance";#N/A,#N/A,FALSE,"PYG"}</definedName>
    <definedName name="yugdnk" localSheetId="2" hidden="1">{#N/A,#N/A,FALSE,"balance";#N/A,#N/A,FALSE,"PYG"}</definedName>
    <definedName name="yugdnk" localSheetId="5" hidden="1">{#N/A,#N/A,FALSE,"balance";#N/A,#N/A,FALSE,"PYG"}</definedName>
    <definedName name="yugdnk" localSheetId="7" hidden="1">{#N/A,#N/A,FALSE,"balance";#N/A,#N/A,FALSE,"PYG"}</definedName>
    <definedName name="yugdnk" hidden="1">{#N/A,#N/A,FALSE,"balance";#N/A,#N/A,FALSE,"PYG"}</definedName>
    <definedName name="yute" hidden="1">{"PYGT",#N/A,FALSE,"PYG";"ACTIT",#N/A,FALSE,"BCE_GRAL-ACTIVO";"PASIT",#N/A,FALSE,"BCE_GRAL-PASIVO-PATRIM";"CAJAT",#N/A,FALSE,"CAJA"}</definedName>
    <definedName name="YY" localSheetId="4" hidden="1">{#N/A,#N/A,FALSE,"GRAFICO";#N/A,#N/A,FALSE,"CAJA (2)";#N/A,#N/A,FALSE,"TERCEROS-PROMEDIO";#N/A,#N/A,FALSE,"CAJA";#N/A,#N/A,FALSE,"INGRESOS1995-2003";#N/A,#N/A,FALSE,"GASTOS1995-2003"}</definedName>
    <definedName name="YY" localSheetId="3" hidden="1">{#N/A,#N/A,FALSE,"GRAFICO";#N/A,#N/A,FALSE,"CAJA (2)";#N/A,#N/A,FALSE,"TERCEROS-PROMEDIO";#N/A,#N/A,FALSE,"CAJA";#N/A,#N/A,FALSE,"INGRESOS1995-2003";#N/A,#N/A,FALSE,"GASTOS1995-2003"}</definedName>
    <definedName name="YY" localSheetId="2" hidden="1">{#N/A,#N/A,FALSE,"GRAFICO";#N/A,#N/A,FALSE,"CAJA (2)";#N/A,#N/A,FALSE,"TERCEROS-PROMEDIO";#N/A,#N/A,FALSE,"CAJA";#N/A,#N/A,FALSE,"INGRESOS1995-2003";#N/A,#N/A,FALSE,"GASTOS1995-2003"}</definedName>
    <definedName name="YY" hidden="1">{#N/A,#N/A,FALSE,"GRAFICO";#N/A,#N/A,FALSE,"CAJA (2)";#N/A,#N/A,FALSE,"TERCEROS-PROMEDIO";#N/A,#N/A,FALSE,"CAJA";#N/A,#N/A,FALSE,"INGRESOS1995-2003";#N/A,#N/A,FALSE,"GASTOS1995-2003"}</definedName>
    <definedName name="yyy" hidden="1">{#N/A,#N/A,FALSE,"Aging Summary";#N/A,#N/A,FALSE,"Ratio Analysis";#N/A,#N/A,FALSE,"Test 120 Day Accts";#N/A,#N/A,FALSE,"Tickmarks"}</definedName>
    <definedName name="YYYY" localSheetId="4" hidden="1">{#N/A,#N/A,FALSE,"GRAFICO";#N/A,#N/A,FALSE,"CAJA (2)";#N/A,#N/A,FALSE,"TERCEROS-PROMEDIO";#N/A,#N/A,FALSE,"CAJA";#N/A,#N/A,FALSE,"INGRESOS1995-2003";#N/A,#N/A,FALSE,"GASTOS1995-2003"}</definedName>
    <definedName name="YYYY" localSheetId="3" hidden="1">{#N/A,#N/A,FALSE,"GRAFICO";#N/A,#N/A,FALSE,"CAJA (2)";#N/A,#N/A,FALSE,"TERCEROS-PROMEDIO";#N/A,#N/A,FALSE,"CAJA";#N/A,#N/A,FALSE,"INGRESOS1995-2003";#N/A,#N/A,FALSE,"GASTOS1995-2003"}</definedName>
    <definedName name="YYYY" localSheetId="2" hidden="1">{#N/A,#N/A,FALSE,"GRAFICO";#N/A,#N/A,FALSE,"CAJA (2)";#N/A,#N/A,FALSE,"TERCEROS-PROMEDIO";#N/A,#N/A,FALSE,"CAJA";#N/A,#N/A,FALSE,"INGRESOS1995-2003";#N/A,#N/A,FALSE,"GASTOS1995-2003"}</definedName>
    <definedName name="YYYY" hidden="1">{#N/A,#N/A,FALSE,"GRAFICO";#N/A,#N/A,FALSE,"CAJA (2)";#N/A,#N/A,FALSE,"TERCEROS-PROMEDIO";#N/A,#N/A,FALSE,"CAJA";#N/A,#N/A,FALSE,"INGRESOS1995-2003";#N/A,#N/A,FALSE,"GASTOS1995-2003"}</definedName>
    <definedName name="yyyyyy" localSheetId="4" hidden="1">{"PYGS",#N/A,FALSE,"PYG";"ACTIS",#N/A,FALSE,"BCE_GRAL-ACTIVO";"PASIS",#N/A,FALSE,"BCE_GRAL-PASIVO-PATRIM";"CAJAS",#N/A,FALSE,"CAJA"}</definedName>
    <definedName name="yyyyyy" localSheetId="3" hidden="1">{"PYGS",#N/A,FALSE,"PYG";"ACTIS",#N/A,FALSE,"BCE_GRAL-ACTIVO";"PASIS",#N/A,FALSE,"BCE_GRAL-PASIVO-PATRIM";"CAJAS",#N/A,FALSE,"CAJA"}</definedName>
    <definedName name="yyyyyy" localSheetId="2" hidden="1">{"PYGS",#N/A,FALSE,"PYG";"ACTIS",#N/A,FALSE,"BCE_GRAL-ACTIVO";"PASIS",#N/A,FALSE,"BCE_GRAL-PASIVO-PATRIM";"CAJAS",#N/A,FALSE,"CAJA"}</definedName>
    <definedName name="yyyyyy" hidden="1">{"PYGS",#N/A,FALSE,"PYG";"ACTIS",#N/A,FALSE,"BCE_GRAL-ACTIVO";"PASIS",#N/A,FALSE,"BCE_GRAL-PASIVO-PATRIM";"CAJAS",#N/A,FALSE,"CAJA"}</definedName>
    <definedName name="yyyyyyyyyyyyyyy" localSheetId="4" hidden="1">{#N/A,#N/A,FALSE,"GRAFICO";#N/A,#N/A,FALSE,"CAJA (2)";#N/A,#N/A,FALSE,"TERCEROS-PROMEDIO";#N/A,#N/A,FALSE,"CAJA";#N/A,#N/A,FALSE,"INGRESOS1995-2003";#N/A,#N/A,FALSE,"GASTOS1995-2003"}</definedName>
    <definedName name="yyyyyyyyyyyyyyy" localSheetId="3" hidden="1">{#N/A,#N/A,FALSE,"GRAFICO";#N/A,#N/A,FALSE,"CAJA (2)";#N/A,#N/A,FALSE,"TERCEROS-PROMEDIO";#N/A,#N/A,FALSE,"CAJA";#N/A,#N/A,FALSE,"INGRESOS1995-2003";#N/A,#N/A,FALSE,"GASTOS1995-2003"}</definedName>
    <definedName name="yyyyyyyyyyyyyyy" localSheetId="2" hidden="1">{#N/A,#N/A,FALSE,"GRAFICO";#N/A,#N/A,FALSE,"CAJA (2)";#N/A,#N/A,FALSE,"TERCEROS-PROMEDIO";#N/A,#N/A,FALSE,"CAJA";#N/A,#N/A,FALSE,"INGRESOS1995-2003";#N/A,#N/A,FALSE,"GASTOS1995-2003"}</definedName>
    <definedName name="yyyyyyyyyyyyyyy" hidden="1">{#N/A,#N/A,FALSE,"GRAFICO";#N/A,#N/A,FALSE,"CAJA (2)";#N/A,#N/A,FALSE,"TERCEROS-PROMEDIO";#N/A,#N/A,FALSE,"CAJA";#N/A,#N/A,FALSE,"INGRESOS1995-2003";#N/A,#N/A,FALSE,"GASTOS1995-2003"}</definedName>
    <definedName name="zmmxjd" localSheetId="4" hidden="1">{#N/A,#N/A,TRUE,"Cond";#N/A,#N/A,TRUE,"Bce_hold";#N/A,#N/A,TRUE,"eerr_hold";#N/A,#N/A,TRUE,"eerr_prod";#N/A,#N/A,TRUE,"eerr_tipogtos";#N/A,#N/A,TRUE,"Flujo";#N/A,#N/A,TRUE,"Var_Ebit";#N/A,#N/A,TRUE,"Noa";#N/A,#N/A,TRUE,"Var_Noa"}</definedName>
    <definedName name="zmmxjd" localSheetId="3" hidden="1">{#N/A,#N/A,TRUE,"Cond";#N/A,#N/A,TRUE,"Bce_hold";#N/A,#N/A,TRUE,"eerr_hold";#N/A,#N/A,TRUE,"eerr_prod";#N/A,#N/A,TRUE,"eerr_tipogtos";#N/A,#N/A,TRUE,"Flujo";#N/A,#N/A,TRUE,"Var_Ebit";#N/A,#N/A,TRUE,"Noa";#N/A,#N/A,TRUE,"Var_Noa"}</definedName>
    <definedName name="zmmxjd" localSheetId="2" hidden="1">{#N/A,#N/A,TRUE,"Cond";#N/A,#N/A,TRUE,"Bce_hold";#N/A,#N/A,TRUE,"eerr_hold";#N/A,#N/A,TRUE,"eerr_prod";#N/A,#N/A,TRUE,"eerr_tipogtos";#N/A,#N/A,TRUE,"Flujo";#N/A,#N/A,TRUE,"Var_Ebit";#N/A,#N/A,TRUE,"Noa";#N/A,#N/A,TRUE,"Var_Noa"}</definedName>
    <definedName name="zmmxjd" hidden="1">{#N/A,#N/A,TRUE,"Cond";#N/A,#N/A,TRUE,"Bce_hold";#N/A,#N/A,TRUE,"eerr_hold";#N/A,#N/A,TRUE,"eerr_prod";#N/A,#N/A,TRUE,"eerr_tipogtos";#N/A,#N/A,TRUE,"Flujo";#N/A,#N/A,TRUE,"Var_Ebit";#N/A,#N/A,TRUE,"Noa";#N/A,#N/A,TRUE,"Var_Noa"}</definedName>
    <definedName name="zzzz" hidden="1">{#N/A,#N/A,FALSE,"Aging Summary";#N/A,#N/A,FALSE,"Ratio Analysis";#N/A,#N/A,FALSE,"Test 120 Day Accts";#N/A,#N/A,FALSE,"Tickmarks"}</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90" i="32" l="1"/>
  <c r="BO63" i="33" l="1"/>
  <c r="BO54" i="33"/>
  <c r="BO47" i="33"/>
  <c r="BO46" i="33"/>
  <c r="BO33" i="33"/>
  <c r="BO27" i="33"/>
  <c r="BO22" i="33"/>
  <c r="BO19" i="33"/>
  <c r="BO18" i="33" s="1"/>
  <c r="BO24" i="33" s="1"/>
  <c r="BO10" i="33"/>
  <c r="BO38" i="33" l="1"/>
  <c r="BO51" i="33" s="1"/>
  <c r="BO56" i="33" s="1"/>
  <c r="BO58" i="33" s="1"/>
  <c r="BO64" i="33" s="1"/>
  <c r="BO66" i="33" s="1"/>
  <c r="BO25" i="33"/>
  <c r="BO60" i="33" l="1"/>
  <c r="BO42" i="33"/>
  <c r="BO44" i="33" s="1"/>
  <c r="BO40" i="33"/>
  <c r="BE93" i="32" l="1"/>
  <c r="BE89" i="32"/>
  <c r="G2" i="183" l="1"/>
  <c r="G16" i="183"/>
  <c r="C8" i="183" s="1"/>
  <c r="I9" i="183"/>
  <c r="D9" i="183" s="1"/>
  <c r="I10" i="183"/>
  <c r="D10" i="183"/>
  <c r="I11" i="183"/>
  <c r="D11" i="183" s="1"/>
  <c r="I12" i="183"/>
  <c r="D12" i="183"/>
  <c r="I13" i="183"/>
  <c r="D13" i="183"/>
  <c r="I14" i="183"/>
  <c r="D14" i="183" s="1"/>
  <c r="I15" i="183"/>
  <c r="D15" i="183" s="1"/>
  <c r="H16" i="183"/>
  <c r="H20" i="183"/>
  <c r="C47" i="183"/>
  <c r="I47" i="183"/>
  <c r="D47" i="183" s="1"/>
  <c r="J47" i="183"/>
  <c r="I48" i="183"/>
  <c r="D48" i="183" s="1"/>
  <c r="J48" i="183"/>
  <c r="I49" i="183"/>
  <c r="D49" i="183" s="1"/>
  <c r="J49" i="183"/>
  <c r="I50" i="183"/>
  <c r="D50" i="183"/>
  <c r="J50" i="183"/>
  <c r="K51" i="183"/>
  <c r="N61" i="183"/>
  <c r="O61" i="183"/>
  <c r="P61" i="183"/>
  <c r="Q61" i="183"/>
  <c r="C71" i="183"/>
  <c r="I71" i="183"/>
  <c r="D71" i="183" s="1"/>
  <c r="J71" i="183"/>
  <c r="I72" i="183"/>
  <c r="D72" i="183" s="1"/>
  <c r="J72" i="183"/>
  <c r="I73" i="183"/>
  <c r="D73" i="183" s="1"/>
  <c r="J73" i="183"/>
  <c r="I74" i="183"/>
  <c r="D74" i="183"/>
  <c r="J74" i="183"/>
  <c r="C75" i="183"/>
  <c r="J75" i="183" s="1"/>
  <c r="K75" i="183"/>
  <c r="O88" i="183"/>
  <c r="P88" i="183"/>
  <c r="Q88" i="183"/>
  <c r="R88" i="183"/>
  <c r="G14" i="182"/>
  <c r="C6" i="182" s="1"/>
  <c r="C7" i="182" s="1"/>
  <c r="C8" i="182" s="1"/>
  <c r="C9" i="182" s="1"/>
  <c r="C10" i="182" s="1"/>
  <c r="C11" i="182" s="1"/>
  <c r="C12" i="182" s="1"/>
  <c r="C13" i="182" s="1"/>
  <c r="I7" i="182"/>
  <c r="D7" i="182"/>
  <c r="I8" i="182"/>
  <c r="D8" i="182"/>
  <c r="I9" i="182"/>
  <c r="D9" i="182"/>
  <c r="I10" i="182"/>
  <c r="D10" i="182" s="1"/>
  <c r="I11" i="182"/>
  <c r="D11" i="182" s="1"/>
  <c r="I12" i="182"/>
  <c r="D12" i="182"/>
  <c r="I13" i="182"/>
  <c r="D13" i="182"/>
  <c r="C14" i="182"/>
  <c r="C18" i="182" s="1"/>
  <c r="H14" i="182"/>
  <c r="N17" i="182" s="1"/>
  <c r="C17" i="182"/>
  <c r="M17" i="182"/>
  <c r="H18" i="182"/>
  <c r="H19" i="182" s="1"/>
  <c r="C45" i="182"/>
  <c r="I45" i="182"/>
  <c r="D45" i="182"/>
  <c r="C46" i="182" s="1"/>
  <c r="C47" i="182" s="1"/>
  <c r="C48" i="182" s="1"/>
  <c r="J45" i="182"/>
  <c r="I46" i="182"/>
  <c r="D46" i="182" s="1"/>
  <c r="J46" i="182"/>
  <c r="I47" i="182"/>
  <c r="D47" i="182" s="1"/>
  <c r="J47" i="182"/>
  <c r="I48" i="182"/>
  <c r="D48" i="182" s="1"/>
  <c r="J48" i="182"/>
  <c r="C49" i="182"/>
  <c r="J49" i="182" s="1"/>
  <c r="K49" i="182"/>
  <c r="J50" i="182"/>
  <c r="N59" i="182"/>
  <c r="O59" i="182"/>
  <c r="P59" i="182"/>
  <c r="Q59" i="182"/>
  <c r="C69" i="182"/>
  <c r="I69" i="182"/>
  <c r="C73" i="182" s="1"/>
  <c r="J69" i="182"/>
  <c r="I70" i="182"/>
  <c r="D70" i="182"/>
  <c r="J70" i="182"/>
  <c r="I71" i="182"/>
  <c r="D71" i="182"/>
  <c r="J71" i="182"/>
  <c r="I72" i="182"/>
  <c r="D72" i="182"/>
  <c r="J72" i="182"/>
  <c r="J73" i="182"/>
  <c r="K73" i="182"/>
  <c r="O86" i="182"/>
  <c r="P86" i="182"/>
  <c r="Q86" i="182"/>
  <c r="R86" i="182"/>
  <c r="F14" i="181"/>
  <c r="C6" i="181" s="1"/>
  <c r="H7" i="181"/>
  <c r="D7" i="181" s="1"/>
  <c r="H8" i="181"/>
  <c r="D8" i="181" s="1"/>
  <c r="H9" i="181"/>
  <c r="D9" i="181" s="1"/>
  <c r="H10" i="181"/>
  <c r="D10" i="181"/>
  <c r="H11" i="181"/>
  <c r="D11" i="181"/>
  <c r="H12" i="181"/>
  <c r="D12" i="181" s="1"/>
  <c r="H13" i="181"/>
  <c r="D13" i="181" s="1"/>
  <c r="G14" i="181"/>
  <c r="G18" i="181"/>
  <c r="L18" i="181"/>
  <c r="C45" i="181"/>
  <c r="H45" i="181"/>
  <c r="D45" i="181" s="1"/>
  <c r="I45" i="181"/>
  <c r="H46" i="181"/>
  <c r="D46" i="181" s="1"/>
  <c r="I46" i="181"/>
  <c r="H47" i="181"/>
  <c r="D47" i="181"/>
  <c r="I47" i="181"/>
  <c r="H48" i="181"/>
  <c r="D48" i="181"/>
  <c r="I48" i="181"/>
  <c r="J49" i="181"/>
  <c r="M59" i="181"/>
  <c r="N59" i="181"/>
  <c r="O59" i="181"/>
  <c r="P59" i="181"/>
  <c r="C69" i="181"/>
  <c r="H69" i="181"/>
  <c r="D69" i="181"/>
  <c r="I69" i="181"/>
  <c r="H70" i="181"/>
  <c r="D70" i="181" s="1"/>
  <c r="I70" i="181"/>
  <c r="H71" i="181"/>
  <c r="D71" i="181"/>
  <c r="I71" i="181"/>
  <c r="H72" i="181"/>
  <c r="D72" i="181" s="1"/>
  <c r="I72" i="181"/>
  <c r="C73" i="181"/>
  <c r="I73" i="181" s="1"/>
  <c r="J73" i="181"/>
  <c r="N86" i="181"/>
  <c r="O86" i="181"/>
  <c r="P86" i="181"/>
  <c r="Q86" i="181"/>
  <c r="C10" i="378"/>
  <c r="D10" i="378"/>
  <c r="E10" i="378"/>
  <c r="F12" i="378"/>
  <c r="F10" i="378" s="1"/>
  <c r="H13" i="378"/>
  <c r="H14" i="378"/>
  <c r="H10" i="378"/>
  <c r="I13" i="378"/>
  <c r="I14" i="378"/>
  <c r="I10" i="378"/>
  <c r="J10" i="378"/>
  <c r="K14" i="378"/>
  <c r="K10" i="378" s="1"/>
  <c r="L10" i="378"/>
  <c r="N10" i="378"/>
  <c r="O10" i="378"/>
  <c r="P10" i="378"/>
  <c r="Q10" i="378"/>
  <c r="Q20" i="378" s="1"/>
  <c r="R10" i="378"/>
  <c r="R20" i="378" s="1"/>
  <c r="S10" i="378"/>
  <c r="T10" i="378"/>
  <c r="U13" i="378"/>
  <c r="U10" i="378" s="1"/>
  <c r="U14" i="378"/>
  <c r="W10" i="378"/>
  <c r="X10" i="378"/>
  <c r="X20" i="378" s="1"/>
  <c r="Y10" i="378"/>
  <c r="Y20" i="378" s="1"/>
  <c r="Y21" i="378" s="1"/>
  <c r="Z13" i="378"/>
  <c r="Z14" i="378"/>
  <c r="Z10" i="378"/>
  <c r="AA10" i="378"/>
  <c r="AB12" i="378"/>
  <c r="AB13" i="378"/>
  <c r="AB14" i="378"/>
  <c r="AB10" i="378"/>
  <c r="AC10" i="378"/>
  <c r="AC20" i="378" s="1"/>
  <c r="AC21" i="378" s="1"/>
  <c r="AE10" i="378"/>
  <c r="AF10" i="378"/>
  <c r="AG14" i="378"/>
  <c r="AG10" i="378" s="1"/>
  <c r="AG20" i="378" s="1"/>
  <c r="AH10" i="378"/>
  <c r="AJ10" i="378"/>
  <c r="AJ20" i="378" s="1"/>
  <c r="AK10" i="378"/>
  <c r="AL10" i="378"/>
  <c r="AM10" i="378"/>
  <c r="AO10" i="378"/>
  <c r="AP10" i="378"/>
  <c r="AQ10" i="378"/>
  <c r="AR14" i="378"/>
  <c r="AR10" i="378"/>
  <c r="AR20" i="378" s="1"/>
  <c r="AR21" i="378" s="1"/>
  <c r="AT10" i="378"/>
  <c r="AU10" i="378"/>
  <c r="AV10" i="378"/>
  <c r="AW10" i="378"/>
  <c r="AW20" i="378" s="1"/>
  <c r="AW21" i="378" s="1"/>
  <c r="AY10" i="378"/>
  <c r="AZ10" i="378"/>
  <c r="BB10" i="378"/>
  <c r="K11" i="378"/>
  <c r="C16" i="378"/>
  <c r="D16" i="378"/>
  <c r="E16" i="378"/>
  <c r="F16" i="378"/>
  <c r="H16" i="378"/>
  <c r="I16" i="378"/>
  <c r="J16" i="378"/>
  <c r="K16" i="378"/>
  <c r="L16" i="378"/>
  <c r="M16" i="378"/>
  <c r="N16" i="378"/>
  <c r="O16" i="378"/>
  <c r="O20" i="378" s="1"/>
  <c r="P16" i="378"/>
  <c r="Q16" i="378"/>
  <c r="R16" i="378"/>
  <c r="S16" i="378"/>
  <c r="T16" i="378"/>
  <c r="T20" i="378" s="1"/>
  <c r="T21" i="378" s="1"/>
  <c r="U16" i="378"/>
  <c r="W16" i="378"/>
  <c r="X16" i="378"/>
  <c r="Y16" i="378"/>
  <c r="Z16" i="378"/>
  <c r="AA16" i="378"/>
  <c r="AA20" i="378" s="1"/>
  <c r="AB16" i="378"/>
  <c r="AC16" i="378"/>
  <c r="AE16" i="378"/>
  <c r="AF16" i="378"/>
  <c r="AG16" i="378"/>
  <c r="AH16" i="378"/>
  <c r="AJ16" i="378"/>
  <c r="AK16" i="378"/>
  <c r="AL16" i="378"/>
  <c r="AM16" i="378"/>
  <c r="AM20" i="378" s="1"/>
  <c r="AM21" i="378" s="1"/>
  <c r="AO16" i="378"/>
  <c r="AP16" i="378"/>
  <c r="AQ16" i="378"/>
  <c r="AQ20" i="378" s="1"/>
  <c r="AR17" i="378"/>
  <c r="AR16" i="378" s="1"/>
  <c r="AT16" i="378"/>
  <c r="AU16" i="378"/>
  <c r="AU20" i="378" s="1"/>
  <c r="AV16" i="378"/>
  <c r="AV20" i="378" s="1"/>
  <c r="AW16" i="378"/>
  <c r="AY16" i="378"/>
  <c r="AY20" i="378" s="1"/>
  <c r="AZ16" i="378"/>
  <c r="BB16" i="378"/>
  <c r="C20" i="378"/>
  <c r="D20" i="378"/>
  <c r="D35" i="378" s="1"/>
  <c r="H20" i="378"/>
  <c r="I20" i="378"/>
  <c r="I35" i="378" s="1"/>
  <c r="L20" i="378"/>
  <c r="L21" i="378" s="1"/>
  <c r="N20" i="378"/>
  <c r="P20" i="378"/>
  <c r="U20" i="378"/>
  <c r="U21" i="378" s="1"/>
  <c r="W20" i="378"/>
  <c r="W35" i="378" s="1"/>
  <c r="Z20" i="378"/>
  <c r="Z21" i="378" s="1"/>
  <c r="AE20" i="378"/>
  <c r="AF20" i="378"/>
  <c r="AH20" i="378"/>
  <c r="AK20" i="378"/>
  <c r="AK35" i="378" s="1"/>
  <c r="AO20" i="378"/>
  <c r="AP20" i="378"/>
  <c r="AP21" i="378" s="1"/>
  <c r="AT20" i="378"/>
  <c r="AT21" i="378" s="1"/>
  <c r="AZ20" i="378"/>
  <c r="AZ21" i="378" s="1"/>
  <c r="BB20" i="378"/>
  <c r="BB21" i="378" s="1"/>
  <c r="C21" i="378"/>
  <c r="H21" i="378"/>
  <c r="N21" i="378"/>
  <c r="P21" i="378"/>
  <c r="W21" i="378"/>
  <c r="AE21" i="378"/>
  <c r="AF21" i="378"/>
  <c r="AH21" i="378"/>
  <c r="AO21" i="378"/>
  <c r="C23" i="378"/>
  <c r="D23" i="378"/>
  <c r="E23" i="378"/>
  <c r="F24" i="378"/>
  <c r="F23" i="378"/>
  <c r="H23" i="378"/>
  <c r="I24" i="378"/>
  <c r="I23" i="378"/>
  <c r="J23" i="378"/>
  <c r="K23" i="378"/>
  <c r="L23" i="378"/>
  <c r="N23" i="378"/>
  <c r="O23" i="378"/>
  <c r="P23" i="378"/>
  <c r="Q23" i="378"/>
  <c r="R23" i="378"/>
  <c r="S23" i="378"/>
  <c r="T23" i="378"/>
  <c r="U24" i="378"/>
  <c r="U25" i="378"/>
  <c r="U26" i="378"/>
  <c r="U23" i="378" s="1"/>
  <c r="U35" i="378" s="1"/>
  <c r="W23" i="378"/>
  <c r="X23" i="378"/>
  <c r="Y23" i="378"/>
  <c r="Y35" i="378" s="1"/>
  <c r="Z24" i="378"/>
  <c r="Z23" i="378" s="1"/>
  <c r="Z25" i="378"/>
  <c r="AA23" i="378"/>
  <c r="AB24" i="378"/>
  <c r="AB23" i="378" s="1"/>
  <c r="AB25" i="378"/>
  <c r="AB26" i="378"/>
  <c r="AC23" i="378"/>
  <c r="AC35" i="378" s="1"/>
  <c r="AE23" i="378"/>
  <c r="AF24" i="378"/>
  <c r="AF23" i="378"/>
  <c r="AG24" i="378"/>
  <c r="AG23" i="378" s="1"/>
  <c r="AH23" i="378"/>
  <c r="AJ23" i="378"/>
  <c r="AK23" i="378"/>
  <c r="AL23" i="378"/>
  <c r="AM23" i="378"/>
  <c r="AO23" i="378"/>
  <c r="AP23" i="378"/>
  <c r="AQ23" i="378"/>
  <c r="AR23" i="378"/>
  <c r="AT23" i="378"/>
  <c r="AU23" i="378"/>
  <c r="AV23" i="378"/>
  <c r="AW23" i="378"/>
  <c r="AY23" i="378"/>
  <c r="AZ23" i="378"/>
  <c r="BB23" i="378"/>
  <c r="C29" i="378"/>
  <c r="D29" i="378"/>
  <c r="E29" i="378"/>
  <c r="F29" i="378"/>
  <c r="H30" i="378"/>
  <c r="H29" i="378" s="1"/>
  <c r="H35" i="378" s="1"/>
  <c r="I30" i="378"/>
  <c r="I31" i="378"/>
  <c r="I29" i="378"/>
  <c r="J29" i="378"/>
  <c r="K29" i="378"/>
  <c r="L29" i="378"/>
  <c r="N29" i="378"/>
  <c r="O29" i="378"/>
  <c r="P29" i="378"/>
  <c r="Q29" i="378"/>
  <c r="R29" i="378"/>
  <c r="S29" i="378"/>
  <c r="T29" i="378"/>
  <c r="U30" i="378"/>
  <c r="U31" i="378"/>
  <c r="U29" i="378" s="1"/>
  <c r="W29" i="378"/>
  <c r="X29" i="378"/>
  <c r="Y29" i="378"/>
  <c r="Z30" i="378"/>
  <c r="Z29" i="378" s="1"/>
  <c r="AA29" i="378"/>
  <c r="AB30" i="378"/>
  <c r="AB31" i="378"/>
  <c r="AB32" i="378"/>
  <c r="AC29" i="378"/>
  <c r="AE29" i="378"/>
  <c r="AF29" i="378"/>
  <c r="AG29" i="378"/>
  <c r="AH29" i="378"/>
  <c r="AH35" i="378" s="1"/>
  <c r="AJ29" i="378"/>
  <c r="AK29" i="378"/>
  <c r="AL29" i="378"/>
  <c r="AM29" i="378"/>
  <c r="AO29" i="378"/>
  <c r="AP29" i="378"/>
  <c r="AQ29" i="378"/>
  <c r="AR29" i="378"/>
  <c r="AR35" i="378" s="1"/>
  <c r="AT29" i="378"/>
  <c r="AT35" i="378" s="1"/>
  <c r="AU29" i="378"/>
  <c r="AV29" i="378"/>
  <c r="AW29" i="378"/>
  <c r="AY29" i="378"/>
  <c r="AZ29" i="378"/>
  <c r="BB29" i="378"/>
  <c r="C35" i="378"/>
  <c r="L35" i="378"/>
  <c r="P35" i="378"/>
  <c r="P50" i="378" s="1"/>
  <c r="P55" i="378" s="1"/>
  <c r="T35" i="378"/>
  <c r="T50" i="378" s="1"/>
  <c r="T55" i="378" s="1"/>
  <c r="Z35" i="378"/>
  <c r="AE35" i="378"/>
  <c r="AM35" i="378"/>
  <c r="AM50" i="378" s="1"/>
  <c r="AM55" i="378" s="1"/>
  <c r="AO35" i="378"/>
  <c r="AW35" i="378"/>
  <c r="AW50" i="378" s="1"/>
  <c r="AW55" i="378" s="1"/>
  <c r="BB35" i="378"/>
  <c r="K36" i="378"/>
  <c r="P37" i="378"/>
  <c r="T37" i="378"/>
  <c r="AM37" i="378"/>
  <c r="AW37" i="378"/>
  <c r="BB37" i="378"/>
  <c r="P39" i="378"/>
  <c r="P41" i="378" s="1"/>
  <c r="AW39" i="378"/>
  <c r="AW41" i="378" s="1"/>
  <c r="BB39" i="378"/>
  <c r="K40" i="378"/>
  <c r="BB41" i="378"/>
  <c r="C43" i="378"/>
  <c r="D43" i="378"/>
  <c r="E44" i="378"/>
  <c r="E43" i="378" s="1"/>
  <c r="F43" i="378"/>
  <c r="H46" i="378"/>
  <c r="H43" i="378" s="1"/>
  <c r="I44" i="378"/>
  <c r="I43" i="378"/>
  <c r="J44" i="378"/>
  <c r="J43" i="378" s="1"/>
  <c r="K43" i="378"/>
  <c r="L43" i="378"/>
  <c r="N43" i="378"/>
  <c r="O43" i="378"/>
  <c r="P43" i="378"/>
  <c r="Q43" i="378"/>
  <c r="R43" i="378"/>
  <c r="S43" i="378"/>
  <c r="T43" i="378"/>
  <c r="U44" i="378"/>
  <c r="U46" i="378"/>
  <c r="U43" i="378" s="1"/>
  <c r="W43" i="378"/>
  <c r="X43" i="378"/>
  <c r="Y43" i="378"/>
  <c r="Z44" i="378"/>
  <c r="Z43" i="378" s="1"/>
  <c r="AA43" i="378"/>
  <c r="AB44" i="378"/>
  <c r="AB43" i="378"/>
  <c r="AC43" i="378"/>
  <c r="AE43" i="378"/>
  <c r="AF43" i="378"/>
  <c r="AG43" i="378"/>
  <c r="AH43" i="378"/>
  <c r="AJ43" i="378"/>
  <c r="AK43" i="378"/>
  <c r="AL43" i="378"/>
  <c r="AM43" i="378"/>
  <c r="AO43" i="378"/>
  <c r="AP44" i="378"/>
  <c r="AP43" i="378" s="1"/>
  <c r="AQ43" i="378"/>
  <c r="AR43" i="378"/>
  <c r="AT43" i="378"/>
  <c r="AU43" i="378"/>
  <c r="AV43" i="378"/>
  <c r="AW43" i="378"/>
  <c r="AY43" i="378"/>
  <c r="AZ43" i="378"/>
  <c r="BB43" i="378"/>
  <c r="C50" i="378"/>
  <c r="D50" i="378"/>
  <c r="D55" i="378" s="1"/>
  <c r="I50" i="378"/>
  <c r="I55" i="378" s="1"/>
  <c r="I57" i="378" s="1"/>
  <c r="L50" i="378"/>
  <c r="L55" i="378" s="1"/>
  <c r="L57" i="378" s="1"/>
  <c r="W50" i="378"/>
  <c r="W55" i="378" s="1"/>
  <c r="W57" i="378" s="1"/>
  <c r="Z50" i="378"/>
  <c r="Z55" i="378" s="1"/>
  <c r="Z57" i="378" s="1"/>
  <c r="AE50" i="378"/>
  <c r="AE55" i="378" s="1"/>
  <c r="AE57" i="378" s="1"/>
  <c r="AK50" i="378"/>
  <c r="AO50" i="378"/>
  <c r="BB50" i="378"/>
  <c r="U53" i="378"/>
  <c r="Z53" i="378"/>
  <c r="AB53" i="378"/>
  <c r="AR53" i="378"/>
  <c r="C55" i="378"/>
  <c r="AK55" i="378"/>
  <c r="AK57" i="378" s="1"/>
  <c r="AO55" i="378"/>
  <c r="BB55" i="378"/>
  <c r="K56" i="378"/>
  <c r="C57" i="378"/>
  <c r="P57" i="378"/>
  <c r="T57" i="378"/>
  <c r="AM57" i="378"/>
  <c r="AO57" i="378"/>
  <c r="AW57" i="378"/>
  <c r="BB57" i="378"/>
  <c r="C66" i="378"/>
  <c r="D66" i="378"/>
  <c r="Z10" i="376"/>
  <c r="G13" i="376"/>
  <c r="C19" i="376"/>
  <c r="E19" i="376"/>
  <c r="F19" i="376"/>
  <c r="G19" i="376"/>
  <c r="H19" i="376"/>
  <c r="J19" i="376"/>
  <c r="K19" i="376"/>
  <c r="L19" i="376"/>
  <c r="M19" i="376"/>
  <c r="N19" i="376"/>
  <c r="P19" i="376"/>
  <c r="Q19" i="376"/>
  <c r="R19" i="376"/>
  <c r="S19" i="376"/>
  <c r="T19" i="376"/>
  <c r="U19" i="376"/>
  <c r="W19" i="376"/>
  <c r="X19" i="376"/>
  <c r="Y19" i="376"/>
  <c r="Z19" i="376"/>
  <c r="AB19" i="376"/>
  <c r="AC19" i="376"/>
  <c r="AD19" i="376"/>
  <c r="AE19" i="376"/>
  <c r="AG19" i="376"/>
  <c r="AH19" i="376"/>
  <c r="AI19" i="376"/>
  <c r="AJ19" i="376"/>
  <c r="AL19" i="376"/>
  <c r="AM19" i="376"/>
  <c r="AN19" i="376"/>
  <c r="AO19" i="376"/>
  <c r="AQ19" i="376"/>
  <c r="AR19" i="376"/>
  <c r="AS19" i="376"/>
  <c r="AT19" i="376"/>
  <c r="AV19" i="376"/>
  <c r="AW19" i="376"/>
  <c r="C21" i="376"/>
  <c r="M21" i="376"/>
  <c r="M33" i="376" s="1"/>
  <c r="F22" i="376"/>
  <c r="F33" i="376" s="1"/>
  <c r="U27" i="376"/>
  <c r="U33" i="376" s="1"/>
  <c r="U35" i="376" s="1"/>
  <c r="C33" i="376"/>
  <c r="E33" i="376"/>
  <c r="G33" i="376"/>
  <c r="H33" i="376"/>
  <c r="J33" i="376"/>
  <c r="K33" i="376"/>
  <c r="K35" i="376" s="1"/>
  <c r="L33" i="376"/>
  <c r="L35" i="376" s="1"/>
  <c r="N33" i="376"/>
  <c r="P33" i="376"/>
  <c r="P35" i="376" s="1"/>
  <c r="Q33" i="376"/>
  <c r="R33" i="376"/>
  <c r="S33" i="376"/>
  <c r="T33" i="376"/>
  <c r="T35" i="376" s="1"/>
  <c r="T36" i="376" s="1"/>
  <c r="W33" i="376"/>
  <c r="X33" i="376"/>
  <c r="Y33" i="376"/>
  <c r="Z33" i="376"/>
  <c r="AB33" i="376"/>
  <c r="AC33" i="376"/>
  <c r="AD33" i="376"/>
  <c r="AE33" i="376"/>
  <c r="AG33" i="376"/>
  <c r="AH33" i="376"/>
  <c r="AI33" i="376"/>
  <c r="AJ33" i="376"/>
  <c r="AL33" i="376"/>
  <c r="AM33" i="376"/>
  <c r="AN33" i="376"/>
  <c r="AN35" i="376" s="1"/>
  <c r="AN36" i="376" s="1"/>
  <c r="AO33" i="376"/>
  <c r="AQ33" i="376"/>
  <c r="AR33" i="376"/>
  <c r="AS33" i="376"/>
  <c r="AT33" i="376"/>
  <c r="AV33" i="376"/>
  <c r="AW33" i="376"/>
  <c r="AD35" i="376"/>
  <c r="AD36" i="376" s="1"/>
  <c r="AE35" i="376"/>
  <c r="AE36" i="376" s="1"/>
  <c r="AO35" i="376"/>
  <c r="AO36" i="376" s="1"/>
  <c r="M40" i="376"/>
  <c r="N40" i="376"/>
  <c r="J41" i="376"/>
  <c r="M41" i="376"/>
  <c r="N41" i="376"/>
  <c r="M42" i="376"/>
  <c r="N42" i="376"/>
  <c r="M43" i="376"/>
  <c r="C44" i="376"/>
  <c r="E44" i="376"/>
  <c r="E51" i="376" s="1"/>
  <c r="F44" i="376"/>
  <c r="G44" i="376"/>
  <c r="G51" i="376" s="1"/>
  <c r="H44" i="376"/>
  <c r="J44" i="376"/>
  <c r="K44" i="376"/>
  <c r="K51" i="376" s="1"/>
  <c r="L44" i="376"/>
  <c r="L51" i="376" s="1"/>
  <c r="M44" i="376"/>
  <c r="N44" i="376"/>
  <c r="P44" i="376"/>
  <c r="P51" i="376" s="1"/>
  <c r="Q44" i="376"/>
  <c r="Q51" i="376" s="1"/>
  <c r="R44" i="376"/>
  <c r="T44" i="376"/>
  <c r="T51" i="376" s="1"/>
  <c r="F47" i="376"/>
  <c r="M47" i="376"/>
  <c r="C51" i="376"/>
  <c r="H51" i="376"/>
  <c r="R51" i="376"/>
  <c r="S51" i="376"/>
  <c r="S66" i="376" s="1"/>
  <c r="U51" i="376"/>
  <c r="W51" i="376"/>
  <c r="X51" i="376"/>
  <c r="Y51" i="376"/>
  <c r="Z51" i="376"/>
  <c r="AB51" i="376"/>
  <c r="AC51" i="376"/>
  <c r="AD51" i="376"/>
  <c r="AE51" i="376"/>
  <c r="AG51" i="376"/>
  <c r="AH51" i="376"/>
  <c r="AI51" i="376"/>
  <c r="AJ51" i="376"/>
  <c r="AL51" i="376"/>
  <c r="AM51" i="376"/>
  <c r="AN51" i="376"/>
  <c r="AO51" i="376"/>
  <c r="AQ51" i="376"/>
  <c r="AR51" i="376"/>
  <c r="AS51" i="376"/>
  <c r="AT51" i="376"/>
  <c r="AV51" i="376"/>
  <c r="AW51" i="376"/>
  <c r="Q59" i="376"/>
  <c r="Q64" i="376" s="1"/>
  <c r="R59" i="376"/>
  <c r="R64" i="376" s="1"/>
  <c r="F62" i="376"/>
  <c r="F64" i="376" s="1"/>
  <c r="C64" i="376"/>
  <c r="E64" i="376"/>
  <c r="G64" i="376"/>
  <c r="H64" i="376"/>
  <c r="H66" i="376" s="1"/>
  <c r="J64" i="376"/>
  <c r="K64" i="376"/>
  <c r="L64" i="376"/>
  <c r="M64" i="376"/>
  <c r="N64" i="376"/>
  <c r="P64" i="376"/>
  <c r="S64" i="376"/>
  <c r="T64" i="376"/>
  <c r="U64" i="376"/>
  <c r="W64" i="376"/>
  <c r="W66" i="376" s="1"/>
  <c r="X64" i="376"/>
  <c r="Y64" i="376"/>
  <c r="Z64" i="376"/>
  <c r="AB64" i="376"/>
  <c r="AB66" i="376" s="1"/>
  <c r="AC64" i="376"/>
  <c r="AD64" i="376"/>
  <c r="AE64" i="376"/>
  <c r="AG64" i="376"/>
  <c r="AG66" i="376" s="1"/>
  <c r="AG67" i="376" s="1"/>
  <c r="AH64" i="376"/>
  <c r="AI64" i="376"/>
  <c r="AJ64" i="376"/>
  <c r="AL64" i="376"/>
  <c r="AL66" i="376" s="1"/>
  <c r="AM64" i="376"/>
  <c r="AN64" i="376"/>
  <c r="AO64" i="376"/>
  <c r="AQ64" i="376"/>
  <c r="AQ66" i="376" s="1"/>
  <c r="AQ67" i="376" s="1"/>
  <c r="AR64" i="376"/>
  <c r="AS64" i="376"/>
  <c r="AT64" i="376"/>
  <c r="AV64" i="376"/>
  <c r="AW64" i="376"/>
  <c r="C69" i="376"/>
  <c r="E69" i="376"/>
  <c r="F69" i="376"/>
  <c r="G69" i="376"/>
  <c r="H69" i="376"/>
  <c r="J69" i="376"/>
  <c r="K77" i="376"/>
  <c r="K80" i="376"/>
  <c r="L77" i="376"/>
  <c r="L80" i="376"/>
  <c r="M78" i="376"/>
  <c r="M69" i="376" s="1"/>
  <c r="N79" i="376"/>
  <c r="N80" i="376"/>
  <c r="P69" i="376"/>
  <c r="Q69" i="376"/>
  <c r="R69" i="376"/>
  <c r="S69" i="376"/>
  <c r="T75" i="376"/>
  <c r="T79" i="376"/>
  <c r="T80" i="376"/>
  <c r="U69" i="376"/>
  <c r="W75" i="376"/>
  <c r="W69" i="376" s="1"/>
  <c r="X75" i="376"/>
  <c r="X83" i="376" s="1"/>
  <c r="Y69" i="376"/>
  <c r="Z69" i="376"/>
  <c r="AB69" i="376"/>
  <c r="AB70" i="376" s="1"/>
  <c r="AC69" i="376"/>
  <c r="AC70" i="376" s="1"/>
  <c r="AD69" i="376"/>
  <c r="AE69" i="376"/>
  <c r="AG69" i="376"/>
  <c r="AH69" i="376"/>
  <c r="AH70" i="376" s="1"/>
  <c r="AI69" i="376"/>
  <c r="AI70" i="376" s="1"/>
  <c r="AJ69" i="376"/>
  <c r="AL69" i="376"/>
  <c r="AL70" i="376" s="1"/>
  <c r="AM69" i="376"/>
  <c r="AM70" i="376" s="1"/>
  <c r="AN69" i="376"/>
  <c r="AO69" i="376"/>
  <c r="AO70" i="376" s="1"/>
  <c r="AQ69" i="376"/>
  <c r="AQ70" i="376" s="1"/>
  <c r="AR69" i="376"/>
  <c r="AS69" i="376"/>
  <c r="AS70" i="376" s="1"/>
  <c r="AT69" i="376"/>
  <c r="AV69" i="376"/>
  <c r="AV70" i="376" s="1"/>
  <c r="AW69" i="376"/>
  <c r="AW70" i="376" s="1"/>
  <c r="AD70" i="376"/>
  <c r="AE70" i="376"/>
  <c r="AG70" i="376"/>
  <c r="C83" i="376"/>
  <c r="E83" i="376"/>
  <c r="F83" i="376"/>
  <c r="G83" i="376"/>
  <c r="H83" i="376"/>
  <c r="J83" i="376"/>
  <c r="P83" i="376"/>
  <c r="Q83" i="376"/>
  <c r="R83" i="376"/>
  <c r="S83" i="376"/>
  <c r="U83" i="376"/>
  <c r="Y83" i="376"/>
  <c r="Z83" i="376"/>
  <c r="AB83" i="376"/>
  <c r="AC83" i="376"/>
  <c r="AD83" i="376"/>
  <c r="AE83" i="376"/>
  <c r="AG83" i="376"/>
  <c r="AH83" i="376"/>
  <c r="AI83" i="376"/>
  <c r="AJ83" i="376"/>
  <c r="AL83" i="376"/>
  <c r="AM83" i="376"/>
  <c r="AN83" i="376"/>
  <c r="AO83" i="376"/>
  <c r="AQ83" i="376"/>
  <c r="AR83" i="376"/>
  <c r="AS83" i="376"/>
  <c r="AT83" i="376"/>
  <c r="AV83" i="376"/>
  <c r="AW83" i="376"/>
  <c r="Z10" i="344"/>
  <c r="G13" i="344"/>
  <c r="G19" i="344" s="1"/>
  <c r="G35" i="344" s="1"/>
  <c r="G87" i="344" s="1"/>
  <c r="C19" i="344"/>
  <c r="C35" i="344" s="1"/>
  <c r="C87" i="344" s="1"/>
  <c r="E19" i="344"/>
  <c r="F19" i="344"/>
  <c r="F35" i="344" s="1"/>
  <c r="H19" i="344"/>
  <c r="J19" i="344"/>
  <c r="K19" i="344"/>
  <c r="L19" i="344"/>
  <c r="L35" i="344" s="1"/>
  <c r="L87" i="344" s="1"/>
  <c r="M19" i="344"/>
  <c r="M35" i="344" s="1"/>
  <c r="N19" i="344"/>
  <c r="P19" i="344"/>
  <c r="P35" i="344" s="1"/>
  <c r="P87" i="344" s="1"/>
  <c r="Q19" i="344"/>
  <c r="R19" i="344"/>
  <c r="S19" i="344"/>
  <c r="T19" i="344"/>
  <c r="U19" i="344"/>
  <c r="U35" i="344" s="1"/>
  <c r="U87" i="344" s="1"/>
  <c r="W19" i="344"/>
  <c r="W35" i="344" s="1"/>
  <c r="W87" i="344" s="1"/>
  <c r="X19" i="344"/>
  <c r="Y19" i="344"/>
  <c r="Y35" i="344" s="1"/>
  <c r="Y87" i="344" s="1"/>
  <c r="Z19" i="344"/>
  <c r="AB19" i="344"/>
  <c r="AC19" i="344"/>
  <c r="AD19" i="344"/>
  <c r="AE19" i="344"/>
  <c r="AE35" i="344" s="1"/>
  <c r="AG19" i="344"/>
  <c r="AG35" i="344" s="1"/>
  <c r="AH19" i="344"/>
  <c r="AI19" i="344"/>
  <c r="AI35" i="344" s="1"/>
  <c r="AJ19" i="344"/>
  <c r="C21" i="344"/>
  <c r="M21" i="344"/>
  <c r="F22" i="344"/>
  <c r="U27" i="344"/>
  <c r="C33" i="344"/>
  <c r="E33" i="344"/>
  <c r="E35" i="344" s="1"/>
  <c r="F33" i="344"/>
  <c r="G33" i="344"/>
  <c r="H33" i="344"/>
  <c r="J33" i="344"/>
  <c r="K33" i="344"/>
  <c r="L33" i="344"/>
  <c r="M33" i="344"/>
  <c r="N33" i="344"/>
  <c r="N35" i="344" s="1"/>
  <c r="P33" i="344"/>
  <c r="Q33" i="344"/>
  <c r="R33" i="344"/>
  <c r="S33" i="344"/>
  <c r="T33" i="344"/>
  <c r="U33" i="344"/>
  <c r="W33" i="344"/>
  <c r="X33" i="344"/>
  <c r="X35" i="344" s="1"/>
  <c r="Y33" i="344"/>
  <c r="Z33" i="344"/>
  <c r="AB33" i="344"/>
  <c r="AC33" i="344"/>
  <c r="AD33" i="344"/>
  <c r="AE33" i="344"/>
  <c r="AG33" i="344"/>
  <c r="AH33" i="344"/>
  <c r="AH35" i="344" s="1"/>
  <c r="AI33" i="344"/>
  <c r="AJ33" i="344"/>
  <c r="H35" i="344"/>
  <c r="J35" i="344"/>
  <c r="K35" i="344"/>
  <c r="Q35" i="344"/>
  <c r="R35" i="344"/>
  <c r="S35" i="344"/>
  <c r="T35" i="344"/>
  <c r="Z35" i="344"/>
  <c r="Z36" i="344" s="1"/>
  <c r="AB35" i="344"/>
  <c r="AB36" i="344" s="1"/>
  <c r="AC35" i="344"/>
  <c r="AD35" i="344"/>
  <c r="AD36" i="344" s="1"/>
  <c r="AJ35" i="344"/>
  <c r="AJ36" i="344" s="1"/>
  <c r="AJ88" i="344" s="1"/>
  <c r="T36" i="344"/>
  <c r="AC36" i="344"/>
  <c r="M40" i="344"/>
  <c r="N40" i="344"/>
  <c r="J41" i="344"/>
  <c r="M41" i="344"/>
  <c r="N41" i="344"/>
  <c r="M42" i="344"/>
  <c r="M51" i="344" s="1"/>
  <c r="M67" i="344" s="1"/>
  <c r="M73" i="344" s="1"/>
  <c r="N42" i="344"/>
  <c r="N51" i="344" s="1"/>
  <c r="N67" i="344" s="1"/>
  <c r="M43" i="344"/>
  <c r="C44" i="344"/>
  <c r="E44" i="344"/>
  <c r="F44" i="344"/>
  <c r="G44" i="344"/>
  <c r="H44" i="344"/>
  <c r="J44" i="344"/>
  <c r="K44" i="344"/>
  <c r="L44" i="344"/>
  <c r="M44" i="344"/>
  <c r="N44" i="344"/>
  <c r="P44" i="344"/>
  <c r="Q44" i="344"/>
  <c r="R44" i="344"/>
  <c r="T44" i="344"/>
  <c r="T51" i="344" s="1"/>
  <c r="T67" i="344" s="1"/>
  <c r="F47" i="344"/>
  <c r="F51" i="344" s="1"/>
  <c r="F67" i="344" s="1"/>
  <c r="F73" i="344" s="1"/>
  <c r="M47" i="344"/>
  <c r="C51" i="344"/>
  <c r="E51" i="344"/>
  <c r="G51" i="344"/>
  <c r="H51" i="344"/>
  <c r="J51" i="344"/>
  <c r="K51" i="344"/>
  <c r="L51" i="344"/>
  <c r="P51" i="344"/>
  <c r="Q51" i="344"/>
  <c r="R51" i="344"/>
  <c r="S51" i="344"/>
  <c r="U51" i="344"/>
  <c r="W51" i="344"/>
  <c r="X51" i="344"/>
  <c r="Y51" i="344"/>
  <c r="Z51" i="344"/>
  <c r="AB51" i="344"/>
  <c r="AC51" i="344"/>
  <c r="AD51" i="344"/>
  <c r="AE51" i="344"/>
  <c r="AG51" i="344"/>
  <c r="AH51" i="344"/>
  <c r="AI51" i="344"/>
  <c r="AJ51" i="344"/>
  <c r="Q59" i="344"/>
  <c r="R59" i="344"/>
  <c r="R65" i="344" s="1"/>
  <c r="R67" i="344" s="1"/>
  <c r="F63" i="344"/>
  <c r="F65" i="344" s="1"/>
  <c r="C65" i="344"/>
  <c r="E65" i="344"/>
  <c r="E67" i="344" s="1"/>
  <c r="E73" i="344" s="1"/>
  <c r="G65" i="344"/>
  <c r="H65" i="344"/>
  <c r="J65" i="344"/>
  <c r="K65" i="344"/>
  <c r="K67" i="344" s="1"/>
  <c r="L65" i="344"/>
  <c r="L67" i="344" s="1"/>
  <c r="L73" i="344" s="1"/>
  <c r="M65" i="344"/>
  <c r="N65" i="344"/>
  <c r="P65" i="344"/>
  <c r="Q65" i="344"/>
  <c r="S65" i="344"/>
  <c r="T65" i="344"/>
  <c r="U65" i="344"/>
  <c r="U67" i="344" s="1"/>
  <c r="U73" i="344" s="1"/>
  <c r="W65" i="344"/>
  <c r="X65" i="344"/>
  <c r="X67" i="344" s="1"/>
  <c r="Y65" i="344"/>
  <c r="Z65" i="344"/>
  <c r="AB65" i="344"/>
  <c r="AC65" i="344"/>
  <c r="AD65" i="344"/>
  <c r="AD67" i="344" s="1"/>
  <c r="AE65" i="344"/>
  <c r="AE67" i="344" s="1"/>
  <c r="AG65" i="344"/>
  <c r="AH65" i="344"/>
  <c r="AH67" i="344" s="1"/>
  <c r="AI65" i="344"/>
  <c r="AJ65" i="344"/>
  <c r="C67" i="344"/>
  <c r="G67" i="344"/>
  <c r="H67" i="344"/>
  <c r="J67" i="344"/>
  <c r="P67" i="344"/>
  <c r="Q67" i="344"/>
  <c r="S67" i="344"/>
  <c r="W67" i="344"/>
  <c r="Y67" i="344"/>
  <c r="Z67" i="344"/>
  <c r="AB67" i="344"/>
  <c r="AC67" i="344"/>
  <c r="AC68" i="344" s="1"/>
  <c r="AC88" i="344" s="1"/>
  <c r="AG67" i="344"/>
  <c r="AI67" i="344"/>
  <c r="AI68" i="344" s="1"/>
  <c r="AJ67" i="344"/>
  <c r="Z68" i="344"/>
  <c r="AB68" i="344"/>
  <c r="AG68" i="344"/>
  <c r="AJ68" i="344"/>
  <c r="C70" i="344"/>
  <c r="E70" i="344"/>
  <c r="F70" i="344"/>
  <c r="G70" i="344"/>
  <c r="H70" i="344"/>
  <c r="J70" i="344"/>
  <c r="K77" i="344"/>
  <c r="K80" i="344"/>
  <c r="K70" i="344" s="1"/>
  <c r="L77" i="344"/>
  <c r="L80" i="344"/>
  <c r="L70" i="344"/>
  <c r="M78" i="344"/>
  <c r="M70" i="344" s="1"/>
  <c r="N79" i="344"/>
  <c r="N80" i="344"/>
  <c r="N70" i="344" s="1"/>
  <c r="P70" i="344"/>
  <c r="Q70" i="344"/>
  <c r="R70" i="344"/>
  <c r="S70" i="344"/>
  <c r="T76" i="344"/>
  <c r="T70" i="344" s="1"/>
  <c r="T71" i="344" s="1"/>
  <c r="T79" i="344"/>
  <c r="T80" i="344"/>
  <c r="U70" i="344"/>
  <c r="W76" i="344"/>
  <c r="W70" i="344"/>
  <c r="X76" i="344"/>
  <c r="X70" i="344" s="1"/>
  <c r="Y70" i="344"/>
  <c r="Z70" i="344"/>
  <c r="Z71" i="344" s="1"/>
  <c r="AB70" i="344"/>
  <c r="AB71" i="344" s="1"/>
  <c r="AC70" i="344"/>
  <c r="AD70" i="344"/>
  <c r="AE70" i="344"/>
  <c r="AG70" i="344"/>
  <c r="AG73" i="344" s="1"/>
  <c r="AH70" i="344"/>
  <c r="AI70" i="344"/>
  <c r="AJ70" i="344"/>
  <c r="AJ71" i="344" s="1"/>
  <c r="AC71" i="344"/>
  <c r="AD71" i="344"/>
  <c r="AE71" i="344"/>
  <c r="AH71" i="344"/>
  <c r="AI71" i="344"/>
  <c r="C73" i="344"/>
  <c r="G73" i="344"/>
  <c r="H73" i="344"/>
  <c r="J73" i="344"/>
  <c r="P73" i="344"/>
  <c r="Q73" i="344"/>
  <c r="S73" i="344"/>
  <c r="W73" i="344"/>
  <c r="Y73" i="344"/>
  <c r="Z73" i="344"/>
  <c r="AB73" i="344"/>
  <c r="AC73" i="344"/>
  <c r="AI73" i="344"/>
  <c r="AJ73" i="344"/>
  <c r="C83" i="344"/>
  <c r="E83" i="344"/>
  <c r="F83" i="344"/>
  <c r="G83" i="344"/>
  <c r="H83" i="344"/>
  <c r="J83" i="344"/>
  <c r="K83" i="344"/>
  <c r="L83" i="344"/>
  <c r="M83" i="344"/>
  <c r="N83" i="344"/>
  <c r="P83" i="344"/>
  <c r="Q83" i="344"/>
  <c r="R83" i="344"/>
  <c r="S83" i="344"/>
  <c r="T83" i="344"/>
  <c r="U83" i="344"/>
  <c r="W83" i="344"/>
  <c r="X83" i="344"/>
  <c r="Y83" i="344"/>
  <c r="Z83" i="344"/>
  <c r="AB83" i="344"/>
  <c r="AC83" i="344"/>
  <c r="AD83" i="344"/>
  <c r="AE83" i="344"/>
  <c r="AG83" i="344"/>
  <c r="AH83" i="344"/>
  <c r="AI83" i="344"/>
  <c r="AJ83" i="344"/>
  <c r="H87" i="344"/>
  <c r="J87" i="344"/>
  <c r="Q87" i="344"/>
  <c r="S87" i="344"/>
  <c r="Z87" i="344"/>
  <c r="AB87" i="344"/>
  <c r="AC87" i="344"/>
  <c r="AJ87" i="344"/>
  <c r="C88" i="344"/>
  <c r="E88" i="344"/>
  <c r="F88" i="344"/>
  <c r="G88" i="344"/>
  <c r="H88" i="344"/>
  <c r="J88" i="344"/>
  <c r="K88" i="344"/>
  <c r="L88" i="344"/>
  <c r="M88" i="344"/>
  <c r="N88" i="344"/>
  <c r="P88" i="344"/>
  <c r="Q88" i="344"/>
  <c r="R88" i="344"/>
  <c r="S88" i="344"/>
  <c r="U88" i="344"/>
  <c r="W88" i="344"/>
  <c r="X88" i="344"/>
  <c r="Y88" i="344"/>
  <c r="C13" i="33"/>
  <c r="C15" i="33"/>
  <c r="C10" i="33"/>
  <c r="D13" i="33"/>
  <c r="D15" i="33"/>
  <c r="D10" i="33"/>
  <c r="E13" i="33"/>
  <c r="E15" i="33"/>
  <c r="E10" i="33"/>
  <c r="F12" i="33"/>
  <c r="F13" i="33"/>
  <c r="F14" i="33"/>
  <c r="F15" i="33"/>
  <c r="F10" i="33"/>
  <c r="H12" i="33"/>
  <c r="H13" i="33"/>
  <c r="H10" i="33"/>
  <c r="I12" i="33"/>
  <c r="I13" i="33"/>
  <c r="I10" i="33" s="1"/>
  <c r="I24" i="33" s="1"/>
  <c r="I15" i="33"/>
  <c r="J13" i="33"/>
  <c r="J10" i="33" s="1"/>
  <c r="J24" i="33" s="1"/>
  <c r="J15" i="33"/>
  <c r="K12" i="33"/>
  <c r="K10" i="33" s="1"/>
  <c r="K24" i="33" s="1"/>
  <c r="K13" i="33"/>
  <c r="K15" i="33"/>
  <c r="K16" i="33"/>
  <c r="L10" i="33"/>
  <c r="N10" i="33"/>
  <c r="O10" i="33"/>
  <c r="P15" i="33"/>
  <c r="P10" i="33" s="1"/>
  <c r="P24" i="33" s="1"/>
  <c r="Q12" i="33"/>
  <c r="Q13" i="33"/>
  <c r="Q16" i="33"/>
  <c r="Q10" i="33"/>
  <c r="R13" i="33"/>
  <c r="R15" i="33"/>
  <c r="R10" i="33"/>
  <c r="S13" i="33"/>
  <c r="S10" i="33" s="1"/>
  <c r="S24" i="33" s="1"/>
  <c r="S25" i="33" s="1"/>
  <c r="S15" i="33"/>
  <c r="T13" i="33"/>
  <c r="T10" i="33"/>
  <c r="U13" i="33"/>
  <c r="U15" i="33"/>
  <c r="U10" i="33"/>
  <c r="W10" i="33"/>
  <c r="X10" i="33"/>
  <c r="Y13" i="33"/>
  <c r="Y15" i="33"/>
  <c r="Y10" i="33"/>
  <c r="Z13" i="33"/>
  <c r="Z15" i="33"/>
  <c r="Z10" i="33"/>
  <c r="AA10" i="33"/>
  <c r="AB13" i="33"/>
  <c r="AB10" i="33" s="1"/>
  <c r="AB24" i="33" s="1"/>
  <c r="AB25" i="33" s="1"/>
  <c r="AC13" i="33"/>
  <c r="AC15" i="33"/>
  <c r="AC10" i="33" s="1"/>
  <c r="AC24" i="33" s="1"/>
  <c r="AC25" i="33" s="1"/>
  <c r="AD12" i="33"/>
  <c r="AD13" i="33"/>
  <c r="AD10" i="33" s="1"/>
  <c r="AD24" i="33" s="1"/>
  <c r="AD25" i="33" s="1"/>
  <c r="AD15" i="33"/>
  <c r="AD16" i="33"/>
  <c r="AF10" i="33"/>
  <c r="AG14" i="33"/>
  <c r="AG10" i="33" s="1"/>
  <c r="AG24" i="33" s="1"/>
  <c r="AG16" i="33"/>
  <c r="AH12" i="33"/>
  <c r="AH14" i="33"/>
  <c r="AH10" i="33"/>
  <c r="AI14" i="33"/>
  <c r="AI16" i="33"/>
  <c r="AI10" i="33"/>
  <c r="AJ15" i="33"/>
  <c r="AJ10" i="33" s="1"/>
  <c r="AK15" i="33"/>
  <c r="AK10" i="33" s="1"/>
  <c r="AK24" i="33" s="1"/>
  <c r="AK25" i="33" s="1"/>
  <c r="AN12" i="33"/>
  <c r="AN13" i="33"/>
  <c r="AN15" i="33"/>
  <c r="AN10" i="33"/>
  <c r="AO12" i="33"/>
  <c r="AO13" i="33"/>
  <c r="AO15" i="33"/>
  <c r="AO10" i="33" s="1"/>
  <c r="AO24" i="33" s="1"/>
  <c r="AO25" i="33" s="1"/>
  <c r="AQ10" i="33"/>
  <c r="AR10" i="33"/>
  <c r="AS12" i="33"/>
  <c r="AS15" i="33"/>
  <c r="AS10" i="33" s="1"/>
  <c r="AS24" i="33" s="1"/>
  <c r="AS25" i="33" s="1"/>
  <c r="AT12" i="33"/>
  <c r="AT15" i="33"/>
  <c r="AT10" i="33"/>
  <c r="AU10" i="33"/>
  <c r="AV10" i="33"/>
  <c r="BA10" i="33"/>
  <c r="BC10" i="33"/>
  <c r="BD10" i="33"/>
  <c r="BE14" i="33"/>
  <c r="BE10" i="33"/>
  <c r="BF13" i="33"/>
  <c r="BF10" i="33" s="1"/>
  <c r="BF14" i="33"/>
  <c r="BH10" i="33"/>
  <c r="BI12" i="33"/>
  <c r="BI10" i="33" s="1"/>
  <c r="BI13" i="33"/>
  <c r="BI16" i="33"/>
  <c r="BK12" i="33"/>
  <c r="BK10" i="33" s="1"/>
  <c r="BK24" i="33" s="1"/>
  <c r="BK25" i="33" s="1"/>
  <c r="BK15" i="33"/>
  <c r="BK16" i="33"/>
  <c r="L11" i="33"/>
  <c r="C18" i="33"/>
  <c r="D18" i="33"/>
  <c r="E18" i="33"/>
  <c r="F19" i="33"/>
  <c r="F18" i="33" s="1"/>
  <c r="F24" i="33" s="1"/>
  <c r="F20" i="33"/>
  <c r="H19" i="33"/>
  <c r="H18" i="33"/>
  <c r="I19" i="33"/>
  <c r="I18" i="33"/>
  <c r="J18" i="33"/>
  <c r="K18" i="33"/>
  <c r="L18" i="33"/>
  <c r="M18" i="33"/>
  <c r="N18" i="33"/>
  <c r="O18" i="33"/>
  <c r="P21" i="33"/>
  <c r="P18" i="33"/>
  <c r="Q18" i="33"/>
  <c r="R18" i="33"/>
  <c r="S18" i="33"/>
  <c r="T18" i="33"/>
  <c r="U18" i="33"/>
  <c r="W18" i="33"/>
  <c r="X18" i="33"/>
  <c r="Y19" i="33"/>
  <c r="Y18" i="33" s="1"/>
  <c r="Y24" i="33" s="1"/>
  <c r="Y25" i="33" s="1"/>
  <c r="Y20" i="33"/>
  <c r="Z19" i="33"/>
  <c r="Z20" i="33"/>
  <c r="Z22" i="33"/>
  <c r="Z18" i="33"/>
  <c r="AA21" i="33"/>
  <c r="AA22" i="33"/>
  <c r="AA18" i="33"/>
  <c r="AB21" i="33"/>
  <c r="AB18" i="33" s="1"/>
  <c r="AB22" i="33"/>
  <c r="AC19" i="33"/>
  <c r="AC18" i="33"/>
  <c r="AD19" i="33"/>
  <c r="AD20" i="33"/>
  <c r="AD18" i="33"/>
  <c r="AF18" i="33"/>
  <c r="AG18" i="33"/>
  <c r="AH19" i="33"/>
  <c r="AH18" i="33"/>
  <c r="AI19" i="33"/>
  <c r="AI18" i="33" s="1"/>
  <c r="AI24" i="33" s="1"/>
  <c r="AI25" i="33" s="1"/>
  <c r="AI20" i="33"/>
  <c r="AJ20" i="33"/>
  <c r="AJ18" i="33" s="1"/>
  <c r="AJ22" i="33"/>
  <c r="AK20" i="33"/>
  <c r="AK22" i="33"/>
  <c r="AK18" i="33"/>
  <c r="AN20" i="33"/>
  <c r="AN18" i="33"/>
  <c r="AO20" i="33"/>
  <c r="AO18" i="33" s="1"/>
  <c r="AQ18" i="33"/>
  <c r="AR18" i="33"/>
  <c r="AS19" i="33"/>
  <c r="AS18" i="33"/>
  <c r="AT19" i="33"/>
  <c r="AT18" i="33"/>
  <c r="AU19" i="33"/>
  <c r="AU18" i="33"/>
  <c r="AV18" i="33"/>
  <c r="BA22" i="33"/>
  <c r="BA18" i="33"/>
  <c r="BC18" i="33"/>
  <c r="BC24" i="33" s="1"/>
  <c r="BC25" i="33" s="1"/>
  <c r="BD19" i="33"/>
  <c r="BD22" i="33"/>
  <c r="BD18" i="33"/>
  <c r="BE18" i="33"/>
  <c r="BF20" i="33"/>
  <c r="BF18" i="33" s="1"/>
  <c r="BH18" i="33"/>
  <c r="BI20" i="33"/>
  <c r="BI18" i="33" s="1"/>
  <c r="BI22" i="33"/>
  <c r="BK22" i="33"/>
  <c r="BK18" i="33"/>
  <c r="AL20" i="33"/>
  <c r="AM20" i="33"/>
  <c r="C24" i="33"/>
  <c r="D24" i="33"/>
  <c r="E24" i="33"/>
  <c r="H24" i="33"/>
  <c r="L24" i="33"/>
  <c r="N24" i="33"/>
  <c r="O24" i="33"/>
  <c r="Q24" i="33"/>
  <c r="R24" i="33"/>
  <c r="T24" i="33"/>
  <c r="U24" i="33"/>
  <c r="W24" i="33"/>
  <c r="X24" i="33"/>
  <c r="Z24" i="33"/>
  <c r="AA24" i="33"/>
  <c r="AF24" i="33"/>
  <c r="AH24" i="33"/>
  <c r="AN24" i="33"/>
  <c r="AQ24" i="33"/>
  <c r="AR24" i="33"/>
  <c r="AT24" i="33"/>
  <c r="AU24" i="33"/>
  <c r="AV24" i="33"/>
  <c r="BA24" i="33"/>
  <c r="BD24" i="33"/>
  <c r="BE24" i="33"/>
  <c r="BH24" i="33"/>
  <c r="C25" i="33"/>
  <c r="D25" i="33"/>
  <c r="E25" i="33"/>
  <c r="H25" i="33"/>
  <c r="L25" i="33"/>
  <c r="N25" i="33"/>
  <c r="O25" i="33"/>
  <c r="Q25" i="33"/>
  <c r="R25" i="33"/>
  <c r="T25" i="33"/>
  <c r="U25" i="33"/>
  <c r="W25" i="33"/>
  <c r="X25" i="33"/>
  <c r="Z25" i="33"/>
  <c r="AA25" i="33"/>
  <c r="AF25" i="33"/>
  <c r="AH25" i="33"/>
  <c r="AN25" i="33"/>
  <c r="AQ25" i="33"/>
  <c r="AR25" i="33"/>
  <c r="AT25" i="33"/>
  <c r="AU25" i="33"/>
  <c r="AV25" i="33"/>
  <c r="BA25" i="33"/>
  <c r="BD25" i="33"/>
  <c r="BE25" i="33"/>
  <c r="BH25" i="33"/>
  <c r="C27" i="33"/>
  <c r="D27" i="33"/>
  <c r="E27" i="33"/>
  <c r="F28" i="33"/>
  <c r="F27" i="33"/>
  <c r="H27" i="33"/>
  <c r="I28" i="33"/>
  <c r="I27" i="33"/>
  <c r="J27" i="33"/>
  <c r="K29" i="33"/>
  <c r="K27" i="33" s="1"/>
  <c r="K31" i="33"/>
  <c r="L27" i="33"/>
  <c r="N27" i="33"/>
  <c r="O27" i="33"/>
  <c r="P27" i="33"/>
  <c r="Q28" i="33"/>
  <c r="Q27" i="33"/>
  <c r="R27" i="33"/>
  <c r="S27" i="33"/>
  <c r="T27" i="33"/>
  <c r="U27" i="33"/>
  <c r="W30" i="33"/>
  <c r="W27" i="33"/>
  <c r="X27" i="33"/>
  <c r="Y27" i="33"/>
  <c r="Z30" i="33"/>
  <c r="Z31" i="33"/>
  <c r="Z27" i="33"/>
  <c r="AA30" i="33"/>
  <c r="AA31" i="33"/>
  <c r="AA27" i="33"/>
  <c r="AB30" i="33"/>
  <c r="AB31" i="33"/>
  <c r="AB27" i="33"/>
  <c r="AC28" i="33"/>
  <c r="AC27" i="33" s="1"/>
  <c r="AC29" i="33"/>
  <c r="AC30" i="33"/>
  <c r="AD30" i="33"/>
  <c r="AD27" i="33" s="1"/>
  <c r="AF27" i="33"/>
  <c r="AG29" i="33"/>
  <c r="AG27" i="33"/>
  <c r="AH29" i="33"/>
  <c r="AH27" i="33" s="1"/>
  <c r="AH38" i="33" s="1"/>
  <c r="AH31" i="33"/>
  <c r="AI29" i="33"/>
  <c r="AI27" i="33" s="1"/>
  <c r="AI31" i="33"/>
  <c r="AJ29" i="33"/>
  <c r="AJ30" i="33"/>
  <c r="AJ27" i="33" s="1"/>
  <c r="AK29" i="33"/>
  <c r="AK30" i="33"/>
  <c r="AK27" i="33"/>
  <c r="AN29" i="33"/>
  <c r="AN27" i="33"/>
  <c r="AO29" i="33"/>
  <c r="AO27" i="33"/>
  <c r="AQ27" i="33"/>
  <c r="AR27" i="33"/>
  <c r="AS30" i="33"/>
  <c r="AS27" i="33"/>
  <c r="AT30" i="33"/>
  <c r="AT27" i="33"/>
  <c r="AU30" i="33"/>
  <c r="AU27" i="33"/>
  <c r="AV31" i="33"/>
  <c r="AV27" i="33" s="1"/>
  <c r="AV38" i="33" s="1"/>
  <c r="BA30" i="33"/>
  <c r="BA27" i="33"/>
  <c r="BC27" i="33"/>
  <c r="BD30" i="33"/>
  <c r="BD27" i="33" s="1"/>
  <c r="BE29" i="33"/>
  <c r="BE27" i="33" s="1"/>
  <c r="BE38" i="33" s="1"/>
  <c r="BE30" i="33"/>
  <c r="BE31" i="33"/>
  <c r="BF28" i="33"/>
  <c r="BF29" i="33"/>
  <c r="BF30" i="33"/>
  <c r="BF31" i="33"/>
  <c r="BF27" i="33"/>
  <c r="BH29" i="33"/>
  <c r="BH27" i="33" s="1"/>
  <c r="BI28" i="33"/>
  <c r="BI27" i="33"/>
  <c r="BK28" i="33"/>
  <c r="BK30" i="33"/>
  <c r="BK31" i="33"/>
  <c r="BK27" i="33"/>
  <c r="AL29" i="33"/>
  <c r="AM29" i="33"/>
  <c r="C33" i="33"/>
  <c r="D33" i="33"/>
  <c r="E33" i="33"/>
  <c r="F35" i="33"/>
  <c r="F33" i="33" s="1"/>
  <c r="H34" i="33"/>
  <c r="H33" i="33"/>
  <c r="I34" i="33"/>
  <c r="I33" i="33" s="1"/>
  <c r="I36" i="33"/>
  <c r="J34" i="33"/>
  <c r="J33" i="33"/>
  <c r="K35" i="33"/>
  <c r="K33" i="33" s="1"/>
  <c r="L33" i="33"/>
  <c r="M33" i="33"/>
  <c r="N33" i="33"/>
  <c r="O35" i="33"/>
  <c r="O33" i="33" s="1"/>
  <c r="O38" i="33" s="1"/>
  <c r="P33" i="33"/>
  <c r="Q35" i="33"/>
  <c r="Q33" i="33" s="1"/>
  <c r="Q38" i="33" s="1"/>
  <c r="R33" i="33"/>
  <c r="S35" i="33"/>
  <c r="S33" i="33" s="1"/>
  <c r="T34" i="33"/>
  <c r="T33" i="33" s="1"/>
  <c r="T38" i="33" s="1"/>
  <c r="U34" i="33"/>
  <c r="U33" i="33" s="1"/>
  <c r="U35" i="33"/>
  <c r="W35" i="33"/>
  <c r="W33" i="33"/>
  <c r="X35" i="33"/>
  <c r="X33" i="33"/>
  <c r="Y35" i="33"/>
  <c r="Y33" i="33"/>
  <c r="Z34" i="33"/>
  <c r="Z35" i="33"/>
  <c r="Z36" i="33"/>
  <c r="Z33" i="33"/>
  <c r="AA35" i="33"/>
  <c r="AA33" i="33"/>
  <c r="AB35" i="33"/>
  <c r="AB33" i="33"/>
  <c r="AC33" i="33"/>
  <c r="AD33" i="33"/>
  <c r="AF33" i="33"/>
  <c r="AG33" i="33"/>
  <c r="AH33" i="33"/>
  <c r="AI33" i="33"/>
  <c r="AJ33" i="33"/>
  <c r="AK33" i="33"/>
  <c r="AN33" i="33"/>
  <c r="AO33" i="33"/>
  <c r="AQ33" i="33"/>
  <c r="AR33" i="33"/>
  <c r="AR38" i="33" s="1"/>
  <c r="AS35" i="33"/>
  <c r="AS33" i="33"/>
  <c r="AT35" i="33"/>
  <c r="AT33" i="33"/>
  <c r="AU33" i="33"/>
  <c r="AU38" i="33" s="1"/>
  <c r="AU40" i="33" s="1"/>
  <c r="AV35" i="33"/>
  <c r="AV33" i="33"/>
  <c r="BA33" i="33"/>
  <c r="BC33" i="33"/>
  <c r="BD34" i="33"/>
  <c r="BD33" i="33" s="1"/>
  <c r="BD38" i="33" s="1"/>
  <c r="BE33" i="33"/>
  <c r="BF33" i="33"/>
  <c r="BH33" i="33"/>
  <c r="BI33" i="33"/>
  <c r="BK35" i="33"/>
  <c r="BK33" i="33" s="1"/>
  <c r="C38" i="33"/>
  <c r="C42" i="33" s="1"/>
  <c r="C44" i="33" s="1"/>
  <c r="D38" i="33"/>
  <c r="D40" i="33" s="1"/>
  <c r="E38" i="33"/>
  <c r="H38" i="33"/>
  <c r="H40" i="33" s="1"/>
  <c r="L38" i="33"/>
  <c r="L40" i="33" s="1"/>
  <c r="N38" i="33"/>
  <c r="R38" i="33"/>
  <c r="S38" i="33"/>
  <c r="U38" i="33"/>
  <c r="U40" i="33" s="1"/>
  <c r="W38" i="33"/>
  <c r="X38" i="33"/>
  <c r="Y38" i="33"/>
  <c r="Y40" i="33" s="1"/>
  <c r="Z38" i="33"/>
  <c r="AA38" i="33"/>
  <c r="AC38" i="33"/>
  <c r="AD38" i="33"/>
  <c r="AD40" i="33" s="1"/>
  <c r="AF38" i="33"/>
  <c r="AI38" i="33"/>
  <c r="AI40" i="33" s="1"/>
  <c r="AK38" i="33"/>
  <c r="AN38" i="33"/>
  <c r="AQ38" i="33"/>
  <c r="AQ40" i="33" s="1"/>
  <c r="AS38" i="33"/>
  <c r="AS40" i="33" s="1"/>
  <c r="AT38" i="33"/>
  <c r="BA38" i="33"/>
  <c r="BC38" i="33"/>
  <c r="BH38" i="33"/>
  <c r="BH40" i="33" s="1"/>
  <c r="BK38" i="33"/>
  <c r="L39" i="33"/>
  <c r="C40" i="33"/>
  <c r="E40" i="33"/>
  <c r="N40" i="33"/>
  <c r="O40" i="33"/>
  <c r="R40" i="33"/>
  <c r="S40" i="33"/>
  <c r="T40" i="33"/>
  <c r="W40" i="33"/>
  <c r="X40" i="33"/>
  <c r="Z40" i="33"/>
  <c r="AA40" i="33"/>
  <c r="AC40" i="33"/>
  <c r="AF40" i="33"/>
  <c r="AK40" i="33"/>
  <c r="AN40" i="33"/>
  <c r="AR40" i="33"/>
  <c r="AT40" i="33"/>
  <c r="BA40" i="33"/>
  <c r="BC40" i="33"/>
  <c r="BE40" i="33"/>
  <c r="BK40" i="33"/>
  <c r="D42" i="33"/>
  <c r="E42" i="33"/>
  <c r="E44" i="33" s="1"/>
  <c r="H42" i="33"/>
  <c r="H44" i="33" s="1"/>
  <c r="N42" i="33"/>
  <c r="O42" i="33"/>
  <c r="O44" i="33" s="1"/>
  <c r="R42" i="33"/>
  <c r="S42" i="33"/>
  <c r="T42" i="33"/>
  <c r="T44" i="33" s="1"/>
  <c r="W42" i="33"/>
  <c r="X42" i="33"/>
  <c r="X44" i="33" s="1"/>
  <c r="Z42" i="33"/>
  <c r="Z44" i="33" s="1"/>
  <c r="AA42" i="33"/>
  <c r="AC42" i="33"/>
  <c r="AC44" i="33" s="1"/>
  <c r="AF42" i="33"/>
  <c r="AI42" i="33"/>
  <c r="AI44" i="33" s="1"/>
  <c r="AK42" i="33"/>
  <c r="AN42" i="33"/>
  <c r="AN44" i="33" s="1"/>
  <c r="AR42" i="33"/>
  <c r="AR44" i="33" s="1"/>
  <c r="AT42" i="33"/>
  <c r="AT44" i="33" s="1"/>
  <c r="BA42" i="33"/>
  <c r="BA44" i="33" s="1"/>
  <c r="BC42" i="33"/>
  <c r="BE42" i="33"/>
  <c r="BE44" i="33" s="1"/>
  <c r="BK42" i="33"/>
  <c r="L43" i="33"/>
  <c r="D44" i="33"/>
  <c r="N44" i="33"/>
  <c r="R44" i="33"/>
  <c r="S44" i="33"/>
  <c r="W44" i="33"/>
  <c r="AA44" i="33"/>
  <c r="AF44" i="33"/>
  <c r="AK44" i="33"/>
  <c r="BC44" i="33"/>
  <c r="BK44" i="33"/>
  <c r="C46" i="33"/>
  <c r="D47" i="33"/>
  <c r="D46" i="33" s="1"/>
  <c r="D51" i="33" s="1"/>
  <c r="D56" i="33" s="1"/>
  <c r="D58" i="33" s="1"/>
  <c r="E46" i="33"/>
  <c r="F46" i="33"/>
  <c r="H47" i="33"/>
  <c r="H46" i="33" s="1"/>
  <c r="H51" i="33" s="1"/>
  <c r="H56" i="33" s="1"/>
  <c r="H58" i="33" s="1"/>
  <c r="I47" i="33"/>
  <c r="I46" i="33"/>
  <c r="J46" i="33"/>
  <c r="K47" i="33"/>
  <c r="K46" i="33" s="1"/>
  <c r="K48" i="33"/>
  <c r="L46" i="33"/>
  <c r="L51" i="33" s="1"/>
  <c r="L56" i="33" s="1"/>
  <c r="L58" i="33" s="1"/>
  <c r="N46" i="33"/>
  <c r="N51" i="33" s="1"/>
  <c r="N56" i="33" s="1"/>
  <c r="N58" i="33" s="1"/>
  <c r="O46" i="33"/>
  <c r="P47" i="33"/>
  <c r="P46" i="33"/>
  <c r="Q47" i="33"/>
  <c r="Q46" i="33" s="1"/>
  <c r="Q48" i="33"/>
  <c r="R46" i="33"/>
  <c r="R51" i="33" s="1"/>
  <c r="R56" i="33" s="1"/>
  <c r="R58" i="33" s="1"/>
  <c r="S46" i="33"/>
  <c r="T47" i="33"/>
  <c r="T46" i="33"/>
  <c r="U46" i="33"/>
  <c r="U51" i="33" s="1"/>
  <c r="U56" i="33" s="1"/>
  <c r="U58" i="33" s="1"/>
  <c r="W46" i="33"/>
  <c r="X46" i="33"/>
  <c r="Y46" i="33"/>
  <c r="Z46" i="33"/>
  <c r="AA47" i="33"/>
  <c r="AA46" i="33" s="1"/>
  <c r="AA51" i="33" s="1"/>
  <c r="AA56" i="33" s="1"/>
  <c r="AA58" i="33" s="1"/>
  <c r="AA48" i="33"/>
  <c r="AB47" i="33"/>
  <c r="AB46" i="33" s="1"/>
  <c r="AB48" i="33"/>
  <c r="AC46" i="33"/>
  <c r="AD46" i="33"/>
  <c r="AD51" i="33" s="1"/>
  <c r="AD56" i="33" s="1"/>
  <c r="AD58" i="33" s="1"/>
  <c r="AF46" i="33"/>
  <c r="AF51" i="33" s="1"/>
  <c r="AF56" i="33" s="1"/>
  <c r="AF58" i="33" s="1"/>
  <c r="AG46" i="33"/>
  <c r="AH46" i="33"/>
  <c r="AI46" i="33"/>
  <c r="AJ47" i="33"/>
  <c r="AJ46" i="33"/>
  <c r="AK47" i="33"/>
  <c r="AK46" i="33"/>
  <c r="AK51" i="33" s="1"/>
  <c r="AK56" i="33" s="1"/>
  <c r="AK58" i="33" s="1"/>
  <c r="AN46" i="33"/>
  <c r="AO48" i="33"/>
  <c r="AO46" i="33"/>
  <c r="AQ46" i="33"/>
  <c r="AQ51" i="33" s="1"/>
  <c r="AQ56" i="33" s="1"/>
  <c r="AQ58" i="33" s="1"/>
  <c r="AR48" i="33"/>
  <c r="AR46" i="33"/>
  <c r="AR51" i="33" s="1"/>
  <c r="AR56" i="33" s="1"/>
  <c r="AR58" i="33" s="1"/>
  <c r="AS46" i="33"/>
  <c r="AT48" i="33"/>
  <c r="AT46" i="33" s="1"/>
  <c r="AT51" i="33" s="1"/>
  <c r="AT56" i="33" s="1"/>
  <c r="AT58" i="33" s="1"/>
  <c r="AU47" i="33"/>
  <c r="AU46" i="33"/>
  <c r="AU51" i="33" s="1"/>
  <c r="AU56" i="33" s="1"/>
  <c r="AU58" i="33" s="1"/>
  <c r="AV47" i="33"/>
  <c r="AV46" i="33" s="1"/>
  <c r="BA47" i="33"/>
  <c r="BA48" i="33"/>
  <c r="BA46" i="33"/>
  <c r="BC46" i="33"/>
  <c r="BC51" i="33" s="1"/>
  <c r="BC56" i="33" s="1"/>
  <c r="BC58" i="33" s="1"/>
  <c r="BD46" i="33"/>
  <c r="BE47" i="33"/>
  <c r="BE46" i="33"/>
  <c r="BE51" i="33" s="1"/>
  <c r="BE56" i="33" s="1"/>
  <c r="BE58" i="33" s="1"/>
  <c r="BF47" i="33"/>
  <c r="BF46" i="33"/>
  <c r="BH46" i="33"/>
  <c r="BI47" i="33"/>
  <c r="BI46" i="33" s="1"/>
  <c r="BI48" i="33"/>
  <c r="BK46" i="33"/>
  <c r="C51" i="33"/>
  <c r="E51" i="33"/>
  <c r="O51" i="33"/>
  <c r="S51" i="33"/>
  <c r="T51" i="33"/>
  <c r="W51" i="33"/>
  <c r="X51" i="33"/>
  <c r="Y51" i="33"/>
  <c r="Z51" i="33"/>
  <c r="AC51" i="33"/>
  <c r="AI51" i="33"/>
  <c r="AN51" i="33"/>
  <c r="AS51" i="33"/>
  <c r="BA51" i="33"/>
  <c r="BH51" i="33"/>
  <c r="BK51" i="33"/>
  <c r="L52" i="33"/>
  <c r="O54" i="33"/>
  <c r="O56" i="33" s="1"/>
  <c r="O58" i="33" s="1"/>
  <c r="Q54" i="33"/>
  <c r="S54" i="33"/>
  <c r="S56" i="33" s="1"/>
  <c r="S58" i="33" s="1"/>
  <c r="U54" i="33"/>
  <c r="W54" i="33"/>
  <c r="Y54" i="33"/>
  <c r="Z54" i="33"/>
  <c r="AA54" i="33"/>
  <c r="AB54" i="33"/>
  <c r="AC54" i="33"/>
  <c r="AD54" i="33"/>
  <c r="AH54" i="33"/>
  <c r="AI54" i="33"/>
  <c r="BK54" i="33"/>
  <c r="C56" i="33"/>
  <c r="E56" i="33"/>
  <c r="T56" i="33"/>
  <c r="T58" i="33" s="1"/>
  <c r="W56" i="33"/>
  <c r="X56" i="33"/>
  <c r="Y56" i="33"/>
  <c r="Y58" i="33" s="1"/>
  <c r="Z56" i="33"/>
  <c r="AC56" i="33"/>
  <c r="AC58" i="33" s="1"/>
  <c r="AI56" i="33"/>
  <c r="AN56" i="33"/>
  <c r="AN58" i="33" s="1"/>
  <c r="AS56" i="33"/>
  <c r="AS58" i="33" s="1"/>
  <c r="BA56" i="33"/>
  <c r="BA58" i="33" s="1"/>
  <c r="BH56" i="33"/>
  <c r="BK56" i="33"/>
  <c r="D57" i="33"/>
  <c r="E57" i="33"/>
  <c r="E58" i="33" s="1"/>
  <c r="F57" i="33"/>
  <c r="C58" i="33"/>
  <c r="C60" i="33" s="1"/>
  <c r="W58" i="33"/>
  <c r="X58" i="33"/>
  <c r="Z58" i="33"/>
  <c r="Z60" i="33" s="1"/>
  <c r="AI58" i="33"/>
  <c r="AI60" i="33" s="1"/>
  <c r="BH58" i="33"/>
  <c r="BH60" i="33" s="1"/>
  <c r="BK58" i="33"/>
  <c r="L59" i="33"/>
  <c r="G60" i="33"/>
  <c r="M60" i="33"/>
  <c r="W60" i="33"/>
  <c r="X60" i="33"/>
  <c r="BK60" i="33"/>
  <c r="E63" i="33"/>
  <c r="I63" i="33"/>
  <c r="Q63" i="33"/>
  <c r="AA63" i="33"/>
  <c r="AB63" i="33"/>
  <c r="AN63" i="33"/>
  <c r="AO63" i="33"/>
  <c r="AQ63" i="33"/>
  <c r="AR63" i="33"/>
  <c r="AS63" i="33"/>
  <c r="AT63" i="33"/>
  <c r="AU63" i="33"/>
  <c r="BD63" i="33"/>
  <c r="BE63" i="33"/>
  <c r="BK63" i="33"/>
  <c r="W64" i="33"/>
  <c r="X64" i="33"/>
  <c r="X66" i="33" s="1"/>
  <c r="Z64" i="33"/>
  <c r="Z66" i="33" s="1"/>
  <c r="AI64" i="33"/>
  <c r="AI66" i="33" s="1"/>
  <c r="BH64" i="33"/>
  <c r="BH66" i="33" s="1"/>
  <c r="BK64" i="33"/>
  <c r="BK66" i="33" s="1"/>
  <c r="L65" i="33"/>
  <c r="W66" i="33"/>
  <c r="C68" i="33"/>
  <c r="C77" i="33"/>
  <c r="C81" i="33"/>
  <c r="C73" i="33"/>
  <c r="C87" i="33"/>
  <c r="C90" i="33" s="1"/>
  <c r="C91" i="33" s="1"/>
  <c r="C88" i="33"/>
  <c r="C89" i="33"/>
  <c r="M10" i="32"/>
  <c r="N10" i="32"/>
  <c r="V10" i="32"/>
  <c r="V19" i="32" s="1"/>
  <c r="V37" i="32" s="1"/>
  <c r="V38" i="32" s="1"/>
  <c r="N12" i="32"/>
  <c r="N19" i="32" s="1"/>
  <c r="N37" i="32" s="1"/>
  <c r="N38" i="32" s="1"/>
  <c r="V12" i="32"/>
  <c r="AF12" i="32"/>
  <c r="AG12" i="32"/>
  <c r="AG19" i="32" s="1"/>
  <c r="J13" i="32"/>
  <c r="J19" i="32" s="1"/>
  <c r="J37" i="32" s="1"/>
  <c r="J38" i="32" s="1"/>
  <c r="L13" i="32"/>
  <c r="M13" i="32"/>
  <c r="N13" i="32"/>
  <c r="V13" i="32"/>
  <c r="M16" i="32"/>
  <c r="N16" i="32"/>
  <c r="V16" i="32"/>
  <c r="C19" i="32"/>
  <c r="E19" i="32"/>
  <c r="F19" i="32"/>
  <c r="G19" i="32"/>
  <c r="H19" i="32"/>
  <c r="K19" i="32"/>
  <c r="L19" i="32"/>
  <c r="M19" i="32"/>
  <c r="P19" i="32"/>
  <c r="Q19" i="32"/>
  <c r="R19" i="32"/>
  <c r="S19" i="32"/>
  <c r="T19" i="32"/>
  <c r="U19" i="32"/>
  <c r="X19" i="32"/>
  <c r="Y19" i="32"/>
  <c r="Z19" i="32"/>
  <c r="AA19" i="32"/>
  <c r="AC19" i="32"/>
  <c r="AD19" i="32"/>
  <c r="AE19" i="32"/>
  <c r="AF19" i="32"/>
  <c r="AQ19" i="32"/>
  <c r="AS19" i="32"/>
  <c r="AT19" i="32"/>
  <c r="AU19" i="32"/>
  <c r="AV19" i="32"/>
  <c r="AX19" i="32"/>
  <c r="AY19" i="32"/>
  <c r="BA19" i="32"/>
  <c r="N22" i="32"/>
  <c r="N35" i="32" s="1"/>
  <c r="S22" i="32"/>
  <c r="S35" i="32" s="1"/>
  <c r="S37" i="32" s="1"/>
  <c r="S38" i="32" s="1"/>
  <c r="U22" i="32"/>
  <c r="V22" i="32"/>
  <c r="AA22" i="32"/>
  <c r="AA35" i="32" s="1"/>
  <c r="AA37" i="32" s="1"/>
  <c r="AA38" i="32" s="1"/>
  <c r="AF22" i="32"/>
  <c r="AG22" i="32"/>
  <c r="AG35" i="32" s="1"/>
  <c r="AQ22" i="32"/>
  <c r="N25" i="32"/>
  <c r="F33" i="32"/>
  <c r="G33" i="32"/>
  <c r="J33" i="32"/>
  <c r="N33" i="32"/>
  <c r="V33" i="32"/>
  <c r="C35" i="32"/>
  <c r="E35" i="32"/>
  <c r="F35" i="32"/>
  <c r="F37" i="32" s="1"/>
  <c r="F38" i="32" s="1"/>
  <c r="G35" i="32"/>
  <c r="H35" i="32"/>
  <c r="J35" i="32"/>
  <c r="K35" i="32"/>
  <c r="K37" i="32" s="1"/>
  <c r="K38" i="32" s="1"/>
  <c r="L35" i="32"/>
  <c r="M35" i="32"/>
  <c r="P35" i="32"/>
  <c r="P37" i="32" s="1"/>
  <c r="P38" i="32" s="1"/>
  <c r="Q35" i="32"/>
  <c r="R35" i="32"/>
  <c r="T35" i="32"/>
  <c r="T37" i="32" s="1"/>
  <c r="T38" i="32" s="1"/>
  <c r="U35" i="32"/>
  <c r="V35" i="32"/>
  <c r="X35" i="32"/>
  <c r="Y35" i="32"/>
  <c r="Y37" i="32" s="1"/>
  <c r="Y38" i="32" s="1"/>
  <c r="Z35" i="32"/>
  <c r="AC35" i="32"/>
  <c r="AD35" i="32"/>
  <c r="AD37" i="32" s="1"/>
  <c r="AD38" i="32" s="1"/>
  <c r="AE35" i="32"/>
  <c r="AF35" i="32"/>
  <c r="AQ35" i="32"/>
  <c r="AQ37" i="32" s="1"/>
  <c r="AQ38" i="32" s="1"/>
  <c r="AS35" i="32"/>
  <c r="AT35" i="32"/>
  <c r="AU35" i="32"/>
  <c r="AV35" i="32"/>
  <c r="AV37" i="32" s="1"/>
  <c r="AV38" i="32" s="1"/>
  <c r="AX35" i="32"/>
  <c r="AY35" i="32"/>
  <c r="BA35" i="32"/>
  <c r="C37" i="32"/>
  <c r="E37" i="32"/>
  <c r="G37" i="32"/>
  <c r="G38" i="32" s="1"/>
  <c r="H37" i="32"/>
  <c r="L37" i="32"/>
  <c r="L38" i="32" s="1"/>
  <c r="M37" i="32"/>
  <c r="Q37" i="32"/>
  <c r="Q38" i="32" s="1"/>
  <c r="R37" i="32"/>
  <c r="U37" i="32"/>
  <c r="U38" i="32" s="1"/>
  <c r="X37" i="32"/>
  <c r="Z37" i="32"/>
  <c r="Z38" i="32" s="1"/>
  <c r="AC37" i="32"/>
  <c r="AE37" i="32"/>
  <c r="AE38" i="32" s="1"/>
  <c r="AF37" i="32"/>
  <c r="AS37" i="32"/>
  <c r="AS38" i="32" s="1"/>
  <c r="AT37" i="32"/>
  <c r="AU37" i="32"/>
  <c r="AX37" i="32"/>
  <c r="AX38" i="32" s="1"/>
  <c r="AY37" i="32"/>
  <c r="BA37" i="32"/>
  <c r="C38" i="32"/>
  <c r="E38" i="32"/>
  <c r="H38" i="32"/>
  <c r="M38" i="32"/>
  <c r="R38" i="32"/>
  <c r="X38" i="32"/>
  <c r="AC38" i="32"/>
  <c r="AF38" i="32"/>
  <c r="AT38" i="32"/>
  <c r="AU38" i="32"/>
  <c r="AY38" i="32"/>
  <c r="BA38" i="32"/>
  <c r="C40" i="32"/>
  <c r="AF40" i="32"/>
  <c r="AF54" i="32" s="1"/>
  <c r="AF70" i="32" s="1"/>
  <c r="AG40" i="32"/>
  <c r="C42" i="32"/>
  <c r="H42" i="32"/>
  <c r="M42" i="32"/>
  <c r="M54" i="32" s="1"/>
  <c r="C43" i="32"/>
  <c r="C54" i="32" s="1"/>
  <c r="C70" i="32" s="1"/>
  <c r="F43" i="32"/>
  <c r="G43" i="32"/>
  <c r="H43" i="32"/>
  <c r="H54" i="32" s="1"/>
  <c r="H70" i="32" s="1"/>
  <c r="H71" i="32" s="1"/>
  <c r="K43" i="32"/>
  <c r="M43" i="32"/>
  <c r="N43" i="32"/>
  <c r="V43" i="32"/>
  <c r="V54" i="32" s="1"/>
  <c r="V70" i="32" s="1"/>
  <c r="C46" i="32"/>
  <c r="E46" i="32"/>
  <c r="F46" i="32"/>
  <c r="G46" i="32"/>
  <c r="G54" i="32" s="1"/>
  <c r="G70" i="32" s="1"/>
  <c r="G71" i="32" s="1"/>
  <c r="H46" i="32"/>
  <c r="J46" i="32"/>
  <c r="K46" i="32"/>
  <c r="L46" i="32"/>
  <c r="L54" i="32" s="1"/>
  <c r="L70" i="32" s="1"/>
  <c r="L71" i="32" s="1"/>
  <c r="M46" i="32"/>
  <c r="P46" i="32"/>
  <c r="Q46" i="32"/>
  <c r="R46" i="32"/>
  <c r="R54" i="32" s="1"/>
  <c r="R70" i="32" s="1"/>
  <c r="R71" i="32" s="1"/>
  <c r="S46" i="32"/>
  <c r="T46" i="32"/>
  <c r="U46" i="32"/>
  <c r="J50" i="32"/>
  <c r="K50" i="32"/>
  <c r="M50" i="32"/>
  <c r="E54" i="32"/>
  <c r="F54" i="32"/>
  <c r="J54" i="32"/>
  <c r="K54" i="32"/>
  <c r="N54" i="32"/>
  <c r="P54" i="32"/>
  <c r="Q54" i="32"/>
  <c r="S54" i="32"/>
  <c r="T54" i="32"/>
  <c r="U54" i="32"/>
  <c r="X54" i="32"/>
  <c r="Y54" i="32"/>
  <c r="Z54" i="32"/>
  <c r="AA54" i="32"/>
  <c r="AC54" i="32"/>
  <c r="AD54" i="32"/>
  <c r="AE54" i="32"/>
  <c r="AG54" i="32"/>
  <c r="AQ54" i="32"/>
  <c r="AS54" i="32"/>
  <c r="AT54" i="32"/>
  <c r="AU54" i="32"/>
  <c r="AV54" i="32"/>
  <c r="AX54" i="32"/>
  <c r="AY54" i="32"/>
  <c r="BA54" i="32"/>
  <c r="C56" i="32"/>
  <c r="C58" i="32"/>
  <c r="H58" i="32"/>
  <c r="H68" i="32" s="1"/>
  <c r="M58" i="32"/>
  <c r="C61" i="32"/>
  <c r="H61" i="32"/>
  <c r="M61" i="32"/>
  <c r="M68" i="32" s="1"/>
  <c r="N61" i="32"/>
  <c r="S61" i="32"/>
  <c r="V61" i="32"/>
  <c r="AF61" i="32"/>
  <c r="AG61" i="32"/>
  <c r="C62" i="32"/>
  <c r="E62" i="32"/>
  <c r="F62" i="32"/>
  <c r="F68" i="32" s="1"/>
  <c r="F70" i="32" s="1"/>
  <c r="F71" i="32" s="1"/>
  <c r="G62" i="32"/>
  <c r="H62" i="32"/>
  <c r="J62" i="32"/>
  <c r="K62" i="32"/>
  <c r="L62" i="32"/>
  <c r="L68" i="32" s="1"/>
  <c r="M62" i="32"/>
  <c r="P62" i="32"/>
  <c r="Q62" i="32"/>
  <c r="Q68" i="32" s="1"/>
  <c r="Q70" i="32" s="1"/>
  <c r="Q71" i="32" s="1"/>
  <c r="R62" i="32"/>
  <c r="R68" i="32" s="1"/>
  <c r="S62" i="32"/>
  <c r="T62" i="32"/>
  <c r="U62" i="32"/>
  <c r="U68" i="32" s="1"/>
  <c r="U70" i="32" s="1"/>
  <c r="U71" i="32" s="1"/>
  <c r="H65" i="32"/>
  <c r="E66" i="32"/>
  <c r="H66" i="32"/>
  <c r="J66" i="32"/>
  <c r="K66" i="32"/>
  <c r="L66" i="32"/>
  <c r="C68" i="32"/>
  <c r="E68" i="32"/>
  <c r="E70" i="32" s="1"/>
  <c r="E71" i="32" s="1"/>
  <c r="G68" i="32"/>
  <c r="J68" i="32"/>
  <c r="K68" i="32"/>
  <c r="N68" i="32"/>
  <c r="N70" i="32" s="1"/>
  <c r="N71" i="32" s="1"/>
  <c r="P68" i="32"/>
  <c r="S68" i="32"/>
  <c r="T68" i="32"/>
  <c r="V68" i="32"/>
  <c r="X68" i="32"/>
  <c r="X70" i="32" s="1"/>
  <c r="X71" i="32" s="1"/>
  <c r="Y68" i="32"/>
  <c r="Z68" i="32"/>
  <c r="AA68" i="32"/>
  <c r="AC68" i="32"/>
  <c r="AD68" i="32"/>
  <c r="AE68" i="32"/>
  <c r="AF68" i="32"/>
  <c r="AG68" i="32"/>
  <c r="AG70" i="32" s="1"/>
  <c r="AG71" i="32" s="1"/>
  <c r="AQ68" i="32"/>
  <c r="AS68" i="32"/>
  <c r="AT68" i="32"/>
  <c r="AU68" i="32"/>
  <c r="AV68" i="32"/>
  <c r="AX68" i="32"/>
  <c r="AY68" i="32"/>
  <c r="BA68" i="32"/>
  <c r="BA70" i="32" s="1"/>
  <c r="BA71" i="32" s="1"/>
  <c r="J70" i="32"/>
  <c r="K70" i="32"/>
  <c r="K71" i="32" s="1"/>
  <c r="P70" i="32"/>
  <c r="S70" i="32"/>
  <c r="T70" i="32"/>
  <c r="T71" i="32" s="1"/>
  <c r="Y70" i="32"/>
  <c r="Z70" i="32"/>
  <c r="AA70" i="32"/>
  <c r="AC70" i="32"/>
  <c r="AD70" i="32"/>
  <c r="AD71" i="32" s="1"/>
  <c r="AE70" i="32"/>
  <c r="AQ70" i="32"/>
  <c r="AS70" i="32"/>
  <c r="AT70" i="32"/>
  <c r="AU70" i="32"/>
  <c r="AV70" i="32"/>
  <c r="AV71" i="32" s="1"/>
  <c r="AX70" i="32"/>
  <c r="AY70" i="32"/>
  <c r="J71" i="32"/>
  <c r="P71" i="32"/>
  <c r="S71" i="32"/>
  <c r="Y71" i="32"/>
  <c r="Z71" i="32"/>
  <c r="AA71" i="32"/>
  <c r="AC71" i="32"/>
  <c r="AE71" i="32"/>
  <c r="AQ71" i="32"/>
  <c r="AS71" i="32"/>
  <c r="AT71" i="32"/>
  <c r="AU71" i="32"/>
  <c r="AX71" i="32"/>
  <c r="AY71" i="32"/>
  <c r="C87" i="32"/>
  <c r="C73" i="32" s="1"/>
  <c r="C74" i="32" s="1"/>
  <c r="E87" i="32"/>
  <c r="E73" i="32" s="1"/>
  <c r="F87" i="32"/>
  <c r="F73" i="32" s="1"/>
  <c r="G87" i="32"/>
  <c r="G73" i="32"/>
  <c r="H82" i="32"/>
  <c r="H87" i="32" s="1"/>
  <c r="H73" i="32" s="1"/>
  <c r="H84" i="32"/>
  <c r="J87" i="32"/>
  <c r="J73" i="32" s="1"/>
  <c r="K87" i="32"/>
  <c r="K73" i="32"/>
  <c r="L87" i="32"/>
  <c r="L73" i="32" s="1"/>
  <c r="L74" i="32" s="1"/>
  <c r="M81" i="32"/>
  <c r="M82" i="32"/>
  <c r="M84" i="32"/>
  <c r="M87" i="32" s="1"/>
  <c r="M73" i="32" s="1"/>
  <c r="M74" i="32" s="1"/>
  <c r="N83" i="32"/>
  <c r="N87" i="32" s="1"/>
  <c r="N73" i="32" s="1"/>
  <c r="N74" i="32" s="1"/>
  <c r="N84" i="32"/>
  <c r="N85" i="32"/>
  <c r="P87" i="32"/>
  <c r="P73" i="32" s="1"/>
  <c r="Q83" i="32"/>
  <c r="Q87" i="32"/>
  <c r="Q73" i="32" s="1"/>
  <c r="Q74" i="32" s="1"/>
  <c r="R87" i="32"/>
  <c r="R73" i="32"/>
  <c r="S81" i="32"/>
  <c r="S87" i="32"/>
  <c r="S73" i="32" s="1"/>
  <c r="S74" i="32" s="1"/>
  <c r="T87" i="32"/>
  <c r="T73" i="32"/>
  <c r="U83" i="32"/>
  <c r="U87" i="32" s="1"/>
  <c r="U73" i="32" s="1"/>
  <c r="U74" i="32" s="1"/>
  <c r="V83" i="32"/>
  <c r="V84" i="32"/>
  <c r="V87" i="32" s="1"/>
  <c r="V73" i="32" s="1"/>
  <c r="V74" i="32" s="1"/>
  <c r="X87" i="32"/>
  <c r="X73" i="32" s="1"/>
  <c r="Y87" i="32"/>
  <c r="Y73" i="32"/>
  <c r="Z87" i="32"/>
  <c r="Z73" i="32"/>
  <c r="Z74" i="32" s="1"/>
  <c r="AA87" i="32"/>
  <c r="AA73" i="32" s="1"/>
  <c r="AA74" i="32" s="1"/>
  <c r="AC87" i="32"/>
  <c r="AC73" i="32" s="1"/>
  <c r="AC74" i="32" s="1"/>
  <c r="AD87" i="32"/>
  <c r="AD73" i="32" s="1"/>
  <c r="AE87" i="32"/>
  <c r="AE73" i="32"/>
  <c r="AF87" i="32"/>
  <c r="AF73" i="32" s="1"/>
  <c r="AF74" i="32" s="1"/>
  <c r="AG87" i="32"/>
  <c r="AG73" i="32" s="1"/>
  <c r="AQ87" i="32"/>
  <c r="AQ73" i="32" s="1"/>
  <c r="AS87" i="32"/>
  <c r="AS73" i="32"/>
  <c r="AS74" i="32" s="1"/>
  <c r="AT87" i="32"/>
  <c r="AT73" i="32" s="1"/>
  <c r="AU87" i="32"/>
  <c r="AU73" i="32" s="1"/>
  <c r="AV87" i="32"/>
  <c r="AV73" i="32" s="1"/>
  <c r="AV74" i="32" s="1"/>
  <c r="AX87" i="32"/>
  <c r="AX73" i="32"/>
  <c r="AY87" i="32"/>
  <c r="AY73" i="32" s="1"/>
  <c r="AY74" i="32" s="1"/>
  <c r="BA87" i="32"/>
  <c r="BA73" i="32" s="1"/>
  <c r="E74" i="32"/>
  <c r="F74" i="32"/>
  <c r="G74" i="32"/>
  <c r="H74" i="32"/>
  <c r="K74" i="32"/>
  <c r="P74" i="32"/>
  <c r="R74" i="32"/>
  <c r="T74" i="32"/>
  <c r="X74" i="32"/>
  <c r="Y74" i="32"/>
  <c r="AD74" i="32"/>
  <c r="AE74" i="32"/>
  <c r="AG74" i="32"/>
  <c r="AQ74" i="32"/>
  <c r="AT74" i="32"/>
  <c r="AU74" i="32"/>
  <c r="AX74" i="32"/>
  <c r="BA74" i="32"/>
  <c r="E76" i="32"/>
  <c r="G76" i="32"/>
  <c r="H76" i="32"/>
  <c r="K76" i="32"/>
  <c r="L76" i="32"/>
  <c r="P76" i="32"/>
  <c r="R76" i="32"/>
  <c r="T76" i="32"/>
  <c r="U76" i="32"/>
  <c r="X76" i="32"/>
  <c r="Y76" i="32"/>
  <c r="Z76" i="32"/>
  <c r="AA76" i="32"/>
  <c r="AC76" i="32"/>
  <c r="AD76" i="32"/>
  <c r="AE76" i="32"/>
  <c r="AG76" i="32"/>
  <c r="AQ76" i="32"/>
  <c r="AS76" i="32"/>
  <c r="AT76" i="32"/>
  <c r="AU76" i="32"/>
  <c r="AV76" i="32"/>
  <c r="AX76" i="32"/>
  <c r="AY76" i="32"/>
  <c r="BA76" i="32"/>
  <c r="C89" i="32"/>
  <c r="E89" i="32"/>
  <c r="F89" i="32"/>
  <c r="G89" i="32"/>
  <c r="G90" i="32" s="1"/>
  <c r="H89" i="32"/>
  <c r="H90" i="32" s="1"/>
  <c r="J89" i="32"/>
  <c r="J90" i="32" s="1"/>
  <c r="K89" i="32"/>
  <c r="L89" i="32"/>
  <c r="M89" i="32"/>
  <c r="N89" i="32"/>
  <c r="P89" i="32"/>
  <c r="Q89" i="32"/>
  <c r="Q90" i="32" s="1"/>
  <c r="R89" i="32"/>
  <c r="R90" i="32" s="1"/>
  <c r="S89" i="32"/>
  <c r="S90" i="32" s="1"/>
  <c r="T89" i="32"/>
  <c r="U89" i="32"/>
  <c r="V89" i="32"/>
  <c r="X89" i="32"/>
  <c r="Y89" i="32"/>
  <c r="Z89" i="32"/>
  <c r="Z90" i="32" s="1"/>
  <c r="AA89" i="32"/>
  <c r="AA90" i="32" s="1"/>
  <c r="AC89" i="32"/>
  <c r="AC90" i="32" s="1"/>
  <c r="AD89" i="32"/>
  <c r="AE89" i="32"/>
  <c r="AF89" i="32"/>
  <c r="AG89" i="32"/>
  <c r="AQ89" i="32"/>
  <c r="AS89" i="32"/>
  <c r="AS90" i="32" s="1"/>
  <c r="AT89" i="32"/>
  <c r="AT90" i="32" s="1"/>
  <c r="AU89" i="32"/>
  <c r="AU90" i="32" s="1"/>
  <c r="AV89" i="32"/>
  <c r="AX89" i="32"/>
  <c r="AY89" i="32"/>
  <c r="BA89" i="32"/>
  <c r="C90" i="32"/>
  <c r="E90" i="32"/>
  <c r="F90" i="32"/>
  <c r="K90" i="32"/>
  <c r="L90" i="32"/>
  <c r="M90" i="32"/>
  <c r="N90" i="32"/>
  <c r="P90" i="32"/>
  <c r="T90" i="32"/>
  <c r="U90" i="32"/>
  <c r="V90" i="32"/>
  <c r="X90" i="32"/>
  <c r="Y90" i="32"/>
  <c r="AD90" i="32"/>
  <c r="AE90" i="32"/>
  <c r="AF90" i="32"/>
  <c r="AG90" i="32"/>
  <c r="AQ90" i="32"/>
  <c r="AV90" i="32"/>
  <c r="AX90" i="32"/>
  <c r="AY90" i="32"/>
  <c r="BA90" i="32"/>
  <c r="C93" i="32"/>
  <c r="E93" i="32"/>
  <c r="F93" i="32"/>
  <c r="G93" i="32"/>
  <c r="H93" i="32"/>
  <c r="J93" i="32"/>
  <c r="K93" i="32"/>
  <c r="L93" i="32"/>
  <c r="M93" i="32"/>
  <c r="N93" i="32"/>
  <c r="P93" i="32"/>
  <c r="Q93" i="32"/>
  <c r="R93" i="32"/>
  <c r="S93" i="32"/>
  <c r="T93" i="32"/>
  <c r="U93" i="32"/>
  <c r="V93" i="32"/>
  <c r="X93" i="32"/>
  <c r="Y93" i="32"/>
  <c r="Z93" i="32"/>
  <c r="AA93" i="32"/>
  <c r="AC93" i="32"/>
  <c r="AD93" i="32"/>
  <c r="AE93" i="32"/>
  <c r="AF93" i="32"/>
  <c r="AG93" i="32"/>
  <c r="AQ93" i="32"/>
  <c r="AS93" i="32"/>
  <c r="AT93" i="32"/>
  <c r="AU93" i="32"/>
  <c r="AV93" i="32"/>
  <c r="AX93" i="32"/>
  <c r="AY93" i="32"/>
  <c r="BA93" i="32"/>
  <c r="R66" i="376" l="1"/>
  <c r="AW66" i="376"/>
  <c r="AC66" i="376"/>
  <c r="M83" i="376"/>
  <c r="AN66" i="376"/>
  <c r="AN67" i="376" s="1"/>
  <c r="AG72" i="376"/>
  <c r="X69" i="376"/>
  <c r="AT35" i="376"/>
  <c r="AT36" i="376" s="1"/>
  <c r="AJ35" i="376"/>
  <c r="AJ36" i="376" s="1"/>
  <c r="Z35" i="376"/>
  <c r="Z36" i="376" s="1"/>
  <c r="Y35" i="376"/>
  <c r="AI66" i="376"/>
  <c r="AI67" i="376" s="1"/>
  <c r="AR66" i="376"/>
  <c r="AR67" i="376" s="1"/>
  <c r="AH66" i="376"/>
  <c r="AH67" i="376" s="1"/>
  <c r="X66" i="376"/>
  <c r="X72" i="376" s="1"/>
  <c r="F51" i="376"/>
  <c r="F66" i="376" s="1"/>
  <c r="F72" i="376" s="1"/>
  <c r="K83" i="376"/>
  <c r="Y66" i="376"/>
  <c r="Y72" i="376" s="1"/>
  <c r="AS35" i="376"/>
  <c r="AS36" i="376" s="1"/>
  <c r="AI35" i="376"/>
  <c r="AI36" i="376" s="1"/>
  <c r="F35" i="376"/>
  <c r="T83" i="376"/>
  <c r="E66" i="376"/>
  <c r="E72" i="376" s="1"/>
  <c r="AS66" i="376"/>
  <c r="H35" i="376"/>
  <c r="N83" i="376"/>
  <c r="Q35" i="376"/>
  <c r="G35" i="376"/>
  <c r="L66" i="376"/>
  <c r="K66" i="376"/>
  <c r="N51" i="376"/>
  <c r="N66" i="376" s="1"/>
  <c r="S72" i="376"/>
  <c r="T66" i="376"/>
  <c r="T67" i="376" s="1"/>
  <c r="C35" i="376"/>
  <c r="L69" i="376"/>
  <c r="AM66" i="376"/>
  <c r="AM67" i="376" s="1"/>
  <c r="AL72" i="376"/>
  <c r="AB72" i="376"/>
  <c r="Q66" i="376"/>
  <c r="Q72" i="376" s="1"/>
  <c r="AS67" i="376"/>
  <c r="AS72" i="376"/>
  <c r="AT66" i="376"/>
  <c r="AT67" i="376" s="1"/>
  <c r="W72" i="376"/>
  <c r="AV66" i="376"/>
  <c r="AV72" i="376" s="1"/>
  <c r="AV35" i="376"/>
  <c r="AV36" i="376" s="1"/>
  <c r="AJ66" i="376"/>
  <c r="AJ67" i="376" s="1"/>
  <c r="AR70" i="376"/>
  <c r="N69" i="376"/>
  <c r="C66" i="376"/>
  <c r="C72" i="376" s="1"/>
  <c r="AR35" i="376"/>
  <c r="AR36" i="376" s="1"/>
  <c r="AH35" i="376"/>
  <c r="AH36" i="376" s="1"/>
  <c r="X35" i="376"/>
  <c r="N35" i="376"/>
  <c r="R72" i="376"/>
  <c r="R35" i="376"/>
  <c r="Z66" i="376"/>
  <c r="Z67" i="376" s="1"/>
  <c r="G66" i="376"/>
  <c r="G72" i="376" s="1"/>
  <c r="M51" i="376"/>
  <c r="M66" i="376" s="1"/>
  <c r="M72" i="376" s="1"/>
  <c r="AQ35" i="376"/>
  <c r="AQ36" i="376" s="1"/>
  <c r="AG35" i="376"/>
  <c r="AG36" i="376" s="1"/>
  <c r="W35" i="376"/>
  <c r="W83" i="376"/>
  <c r="AQ72" i="376"/>
  <c r="AO66" i="376"/>
  <c r="AE66" i="376"/>
  <c r="U66" i="376"/>
  <c r="U72" i="376" s="1"/>
  <c r="P66" i="376"/>
  <c r="P72" i="376" s="1"/>
  <c r="J51" i="376"/>
  <c r="J66" i="376" s="1"/>
  <c r="J72" i="376" s="1"/>
  <c r="AB35" i="376"/>
  <c r="AB36" i="376" s="1"/>
  <c r="AN70" i="376"/>
  <c r="AD66" i="376"/>
  <c r="AD72" i="376" s="1"/>
  <c r="AL35" i="376"/>
  <c r="AL36" i="376" s="1"/>
  <c r="L83" i="376"/>
  <c r="H72" i="376"/>
  <c r="AW35" i="376"/>
  <c r="AW36" i="376" s="1"/>
  <c r="AM35" i="376"/>
  <c r="AM36" i="376" s="1"/>
  <c r="AC35" i="376"/>
  <c r="AC36" i="376" s="1"/>
  <c r="S35" i="376"/>
  <c r="AS64" i="33"/>
  <c r="AS66" i="33" s="1"/>
  <c r="AS60" i="33"/>
  <c r="T64" i="33"/>
  <c r="T66" i="33" s="1"/>
  <c r="T60" i="33"/>
  <c r="H60" i="33"/>
  <c r="H64" i="33"/>
  <c r="H66" i="33" s="1"/>
  <c r="J74" i="32"/>
  <c r="J76" i="32"/>
  <c r="AF71" i="32"/>
  <c r="AF76" i="32"/>
  <c r="AN64" i="33"/>
  <c r="AN66" i="33" s="1"/>
  <c r="AN60" i="33"/>
  <c r="O64" i="33"/>
  <c r="O66" i="33" s="1"/>
  <c r="O60" i="33"/>
  <c r="AQ64" i="33"/>
  <c r="AQ66" i="33" s="1"/>
  <c r="AQ60" i="33"/>
  <c r="N64" i="33"/>
  <c r="N66" i="33" s="1"/>
  <c r="N60" i="33"/>
  <c r="BD40" i="33"/>
  <c r="BD42" i="33"/>
  <c r="BD44" i="33" s="1"/>
  <c r="BD51" i="33"/>
  <c r="BD56" i="33" s="1"/>
  <c r="BD58" i="33" s="1"/>
  <c r="AV51" i="33"/>
  <c r="AV56" i="33" s="1"/>
  <c r="AV58" i="33" s="1"/>
  <c r="AV40" i="33"/>
  <c r="AV42" i="33"/>
  <c r="AV44" i="33" s="1"/>
  <c r="S76" i="32"/>
  <c r="E60" i="33"/>
  <c r="E64" i="33"/>
  <c r="E66" i="33" s="1"/>
  <c r="AA64" i="33"/>
  <c r="AA66" i="33" s="1"/>
  <c r="AA60" i="33"/>
  <c r="L60" i="33"/>
  <c r="L64" i="33"/>
  <c r="L66" i="33" s="1"/>
  <c r="Q40" i="33"/>
  <c r="Q42" i="33"/>
  <c r="Q44" i="33" s="1"/>
  <c r="Q51" i="33"/>
  <c r="Q56" i="33" s="1"/>
  <c r="Q58" i="33" s="1"/>
  <c r="F76" i="32"/>
  <c r="AC64" i="33"/>
  <c r="AC66" i="33" s="1"/>
  <c r="AC60" i="33"/>
  <c r="BE64" i="33"/>
  <c r="BE66" i="33" s="1"/>
  <c r="BE60" i="33"/>
  <c r="AU64" i="33"/>
  <c r="AU66" i="33" s="1"/>
  <c r="AU60" i="33"/>
  <c r="R64" i="33"/>
  <c r="R66" i="33" s="1"/>
  <c r="R60" i="33"/>
  <c r="D64" i="33"/>
  <c r="D60" i="33"/>
  <c r="Q76" i="32"/>
  <c r="C71" i="32"/>
  <c r="C76" i="32"/>
  <c r="AF64" i="33"/>
  <c r="AF66" i="33" s="1"/>
  <c r="AF60" i="33"/>
  <c r="V71" i="32"/>
  <c r="V76" i="32"/>
  <c r="M70" i="32"/>
  <c r="Y64" i="33"/>
  <c r="Y66" i="33" s="1"/>
  <c r="Y60" i="33"/>
  <c r="AT64" i="33"/>
  <c r="AT66" i="33" s="1"/>
  <c r="AT60" i="33"/>
  <c r="AK64" i="33"/>
  <c r="AK66" i="33" s="1"/>
  <c r="AK60" i="33"/>
  <c r="AD60" i="33"/>
  <c r="AD64" i="33"/>
  <c r="AD66" i="33" s="1"/>
  <c r="N76" i="32"/>
  <c r="BC60" i="33"/>
  <c r="BC64" i="33"/>
  <c r="BC66" i="33" s="1"/>
  <c r="AH40" i="33"/>
  <c r="AH42" i="33"/>
  <c r="AH44" i="33" s="1"/>
  <c r="AH51" i="33"/>
  <c r="AH56" i="33" s="1"/>
  <c r="AH58" i="33" s="1"/>
  <c r="AG37" i="32"/>
  <c r="AG38" i="32" s="1"/>
  <c r="BA64" i="33"/>
  <c r="BA66" i="33" s="1"/>
  <c r="BA60" i="33"/>
  <c r="S64" i="33"/>
  <c r="S66" i="33" s="1"/>
  <c r="S60" i="33"/>
  <c r="AR64" i="33"/>
  <c r="AR66" i="33" s="1"/>
  <c r="AR60" i="33"/>
  <c r="U60" i="33"/>
  <c r="U64" i="33"/>
  <c r="U66" i="33" s="1"/>
  <c r="C64" i="33"/>
  <c r="AD42" i="33"/>
  <c r="AD44" i="33" s="1"/>
  <c r="U42" i="33"/>
  <c r="U44" i="33" s="1"/>
  <c r="L42" i="33"/>
  <c r="L44" i="33" s="1"/>
  <c r="AD73" i="344"/>
  <c r="AD87" i="344"/>
  <c r="AD68" i="344"/>
  <c r="AH87" i="344"/>
  <c r="AH36" i="344"/>
  <c r="X87" i="344"/>
  <c r="N87" i="344"/>
  <c r="E87" i="344"/>
  <c r="AC50" i="378"/>
  <c r="AC55" i="378" s="1"/>
  <c r="AC57" i="378" s="1"/>
  <c r="AC37" i="378"/>
  <c r="AC39" i="378"/>
  <c r="AC41" i="378" s="1"/>
  <c r="F25" i="33"/>
  <c r="F38" i="33"/>
  <c r="I38" i="33"/>
  <c r="I25" i="33"/>
  <c r="N73" i="344"/>
  <c r="AG87" i="344"/>
  <c r="AG36" i="344"/>
  <c r="M87" i="344"/>
  <c r="AT39" i="378"/>
  <c r="AT41" i="378" s="1"/>
  <c r="AT37" i="378"/>
  <c r="AT50" i="378"/>
  <c r="AT55" i="378" s="1"/>
  <c r="AT57" i="378" s="1"/>
  <c r="AU35" i="378"/>
  <c r="AU21" i="378"/>
  <c r="AA35" i="378"/>
  <c r="AA21" i="378"/>
  <c r="AJ35" i="378"/>
  <c r="AJ21" i="378"/>
  <c r="T73" i="344"/>
  <c r="T87" i="344"/>
  <c r="T68" i="344"/>
  <c r="T88" i="344" s="1"/>
  <c r="AE87" i="344"/>
  <c r="AE36" i="344"/>
  <c r="AR50" i="378"/>
  <c r="AR55" i="378" s="1"/>
  <c r="AR57" i="378" s="1"/>
  <c r="AR39" i="378"/>
  <c r="AR41" i="378" s="1"/>
  <c r="AR37" i="378"/>
  <c r="AH50" i="378"/>
  <c r="AH55" i="378" s="1"/>
  <c r="AH57" i="378" s="1"/>
  <c r="AH39" i="378"/>
  <c r="AH41" i="378" s="1"/>
  <c r="AH37" i="378"/>
  <c r="U37" i="378"/>
  <c r="U39" i="378"/>
  <c r="U41" i="378" s="1"/>
  <c r="U50" i="378"/>
  <c r="U55" i="378" s="1"/>
  <c r="U57" i="378" s="1"/>
  <c r="AU42" i="33"/>
  <c r="AU44" i="33" s="1"/>
  <c r="AO38" i="33"/>
  <c r="AB38" i="33"/>
  <c r="AD88" i="344"/>
  <c r="BH42" i="33"/>
  <c r="BH44" i="33" s="1"/>
  <c r="BI24" i="33"/>
  <c r="D57" i="378"/>
  <c r="D74" i="378"/>
  <c r="D71" i="378"/>
  <c r="AS42" i="33"/>
  <c r="AS44" i="33" s="1"/>
  <c r="Y42" i="33"/>
  <c r="Y44" i="33" s="1"/>
  <c r="K25" i="33"/>
  <c r="K38" i="33"/>
  <c r="AH73" i="344"/>
  <c r="AH68" i="344"/>
  <c r="X73" i="344"/>
  <c r="AB88" i="344"/>
  <c r="C14" i="181"/>
  <c r="C7" i="181"/>
  <c r="C8" i="181" s="1"/>
  <c r="C9" i="181" s="1"/>
  <c r="C10" i="181" s="1"/>
  <c r="C11" i="181" s="1"/>
  <c r="C12" i="181" s="1"/>
  <c r="C13" i="181" s="1"/>
  <c r="AJ24" i="33"/>
  <c r="AG25" i="33"/>
  <c r="AG38" i="33"/>
  <c r="P25" i="33"/>
  <c r="P38" i="33"/>
  <c r="R73" i="344"/>
  <c r="R87" i="344"/>
  <c r="Z88" i="344"/>
  <c r="F87" i="344"/>
  <c r="AW72" i="376"/>
  <c r="AW67" i="376"/>
  <c r="AC72" i="376"/>
  <c r="AC67" i="376"/>
  <c r="H39" i="378"/>
  <c r="H41" i="378" s="1"/>
  <c r="H37" i="378"/>
  <c r="H50" i="378"/>
  <c r="H55" i="378" s="1"/>
  <c r="H57" i="378" s="1"/>
  <c r="AY35" i="378"/>
  <c r="AY21" i="378"/>
  <c r="R35" i="378"/>
  <c r="R21" i="378"/>
  <c r="AQ42" i="33"/>
  <c r="AQ44" i="33" s="1"/>
  <c r="BF24" i="33"/>
  <c r="J38" i="33"/>
  <c r="J25" i="33"/>
  <c r="AE73" i="344"/>
  <c r="AE68" i="344"/>
  <c r="K73" i="344"/>
  <c r="K87" i="344"/>
  <c r="AI87" i="344"/>
  <c r="AI36" i="344"/>
  <c r="AI88" i="344" s="1"/>
  <c r="Y50" i="378"/>
  <c r="Y55" i="378" s="1"/>
  <c r="Y57" i="378" s="1"/>
  <c r="Y39" i="378"/>
  <c r="Y41" i="378" s="1"/>
  <c r="Y37" i="378"/>
  <c r="Q21" i="378"/>
  <c r="Q35" i="378"/>
  <c r="AL67" i="376"/>
  <c r="Z39" i="378"/>
  <c r="Z41" i="378" s="1"/>
  <c r="Z37" i="378"/>
  <c r="I21" i="378"/>
  <c r="C75" i="182"/>
  <c r="J74" i="182"/>
  <c r="C77" i="183"/>
  <c r="H21" i="183"/>
  <c r="C19" i="183"/>
  <c r="AG71" i="344"/>
  <c r="C71" i="378"/>
  <c r="AP35" i="378"/>
  <c r="I37" i="378"/>
  <c r="I39" i="378"/>
  <c r="I41" i="378" s="1"/>
  <c r="AL20" i="378"/>
  <c r="AB20" i="378"/>
  <c r="J76" i="183"/>
  <c r="T69" i="376"/>
  <c r="K69" i="376"/>
  <c r="AO37" i="378"/>
  <c r="AO39" i="378"/>
  <c r="AO41" i="378" s="1"/>
  <c r="C37" i="378"/>
  <c r="C39" i="378"/>
  <c r="C41" i="378" s="1"/>
  <c r="AB29" i="378"/>
  <c r="AK21" i="378"/>
  <c r="D21" i="378"/>
  <c r="W39" i="378"/>
  <c r="W41" i="378" s="1"/>
  <c r="W37" i="378"/>
  <c r="AV21" i="378"/>
  <c r="AV35" i="378"/>
  <c r="X35" i="378"/>
  <c r="X21" i="378"/>
  <c r="C46" i="181"/>
  <c r="C47" i="181" s="1"/>
  <c r="C48" i="181" s="1"/>
  <c r="I14" i="182"/>
  <c r="E35" i="376"/>
  <c r="AK37" i="378"/>
  <c r="AK39" i="378"/>
  <c r="AK41" i="378" s="1"/>
  <c r="D39" i="378"/>
  <c r="D41" i="378" s="1"/>
  <c r="D37" i="378"/>
  <c r="C48" i="183"/>
  <c r="C49" i="183" s="1"/>
  <c r="C50" i="183" s="1"/>
  <c r="AB67" i="376"/>
  <c r="M35" i="376"/>
  <c r="AM72" i="376"/>
  <c r="AM39" i="378"/>
  <c r="AM41" i="378" s="1"/>
  <c r="T39" i="378"/>
  <c r="T41" i="378" s="1"/>
  <c r="AZ35" i="378"/>
  <c r="AG35" i="378"/>
  <c r="AG21" i="378"/>
  <c r="H14" i="181"/>
  <c r="AT70" i="376"/>
  <c r="AJ70" i="376"/>
  <c r="Z70" i="376"/>
  <c r="AE37" i="378"/>
  <c r="AE39" i="378"/>
  <c r="AE41" i="378" s="1"/>
  <c r="L37" i="378"/>
  <c r="L39" i="378"/>
  <c r="L41" i="378" s="1"/>
  <c r="AF35" i="378"/>
  <c r="AQ35" i="378"/>
  <c r="AQ21" i="378"/>
  <c r="O35" i="378"/>
  <c r="O21" i="378"/>
  <c r="K20" i="378"/>
  <c r="F20" i="378"/>
  <c r="C75" i="181"/>
  <c r="C70" i="181"/>
  <c r="C71" i="181" s="1"/>
  <c r="C72" i="181" s="1"/>
  <c r="C49" i="181"/>
  <c r="M18" i="181"/>
  <c r="G19" i="181"/>
  <c r="C17" i="181"/>
  <c r="N19" i="183"/>
  <c r="C16" i="183"/>
  <c r="C20" i="183" s="1"/>
  <c r="C9" i="183"/>
  <c r="C10" i="183" s="1"/>
  <c r="C11" i="183" s="1"/>
  <c r="C12" i="183" s="1"/>
  <c r="C13" i="183" s="1"/>
  <c r="C14" i="183" s="1"/>
  <c r="C15" i="183" s="1"/>
  <c r="J35" i="376"/>
  <c r="N35" i="378"/>
  <c r="S20" i="378"/>
  <c r="J20" i="378"/>
  <c r="E20" i="378"/>
  <c r="I74" i="181"/>
  <c r="D69" i="182"/>
  <c r="C70" i="182" s="1"/>
  <c r="C71" i="182" s="1"/>
  <c r="C72" i="182" s="1"/>
  <c r="C72" i="183"/>
  <c r="C73" i="183" s="1"/>
  <c r="C74" i="183" s="1"/>
  <c r="C51" i="183"/>
  <c r="I16" i="183"/>
  <c r="C51" i="182"/>
  <c r="M19" i="183"/>
  <c r="K72" i="376" l="1"/>
  <c r="N72" i="376"/>
  <c r="AN72" i="376"/>
  <c r="Z72" i="376"/>
  <c r="AH72" i="376"/>
  <c r="L72" i="376"/>
  <c r="AI72" i="376"/>
  <c r="AR72" i="376"/>
  <c r="AT72" i="376"/>
  <c r="AD67" i="376"/>
  <c r="AV67" i="376"/>
  <c r="AE67" i="376"/>
  <c r="AE72" i="376"/>
  <c r="AJ72" i="376"/>
  <c r="AO67" i="376"/>
  <c r="AO72" i="376"/>
  <c r="AV50" i="378"/>
  <c r="AV55" i="378" s="1"/>
  <c r="AV57" i="378" s="1"/>
  <c r="AV39" i="378"/>
  <c r="AV41" i="378" s="1"/>
  <c r="AV37" i="378"/>
  <c r="AY37" i="378"/>
  <c r="AY39" i="378"/>
  <c r="AY41" i="378" s="1"/>
  <c r="AY50" i="378"/>
  <c r="AY55" i="378" s="1"/>
  <c r="AY57" i="378" s="1"/>
  <c r="P40" i="33"/>
  <c r="P42" i="33"/>
  <c r="P44" i="33" s="1"/>
  <c r="P51" i="33"/>
  <c r="P56" i="33" s="1"/>
  <c r="P58" i="33" s="1"/>
  <c r="I40" i="33"/>
  <c r="I42" i="33"/>
  <c r="I44" i="33" s="1"/>
  <c r="I51" i="33"/>
  <c r="I56" i="33" s="1"/>
  <c r="I58" i="33" s="1"/>
  <c r="O50" i="378"/>
  <c r="O55" i="378" s="1"/>
  <c r="O57" i="378" s="1"/>
  <c r="O37" i="378"/>
  <c r="O39" i="378"/>
  <c r="O41" i="378" s="1"/>
  <c r="F42" i="33"/>
  <c r="F44" i="33" s="1"/>
  <c r="F40" i="33"/>
  <c r="F51" i="33"/>
  <c r="F56" i="33" s="1"/>
  <c r="F58" i="33" s="1"/>
  <c r="AH88" i="344"/>
  <c r="C66" i="33"/>
  <c r="C69" i="33"/>
  <c r="M71" i="32"/>
  <c r="M76" i="32"/>
  <c r="J21" i="378"/>
  <c r="J35" i="378"/>
  <c r="S21" i="378"/>
  <c r="S35" i="378"/>
  <c r="AP39" i="378"/>
  <c r="AP41" i="378" s="1"/>
  <c r="AP37" i="378"/>
  <c r="AP50" i="378"/>
  <c r="AP55" i="378" s="1"/>
  <c r="AP57" i="378" s="1"/>
  <c r="J51" i="33"/>
  <c r="J56" i="33" s="1"/>
  <c r="J58" i="33" s="1"/>
  <c r="J40" i="33"/>
  <c r="J42" i="33"/>
  <c r="J44" i="33" s="1"/>
  <c r="AG40" i="33"/>
  <c r="AG42" i="33"/>
  <c r="AG44" i="33" s="1"/>
  <c r="AG51" i="33"/>
  <c r="AG56" i="33" s="1"/>
  <c r="AG58" i="33" s="1"/>
  <c r="BI38" i="33"/>
  <c r="BI25" i="33"/>
  <c r="AV64" i="33"/>
  <c r="AV66" i="33" s="1"/>
  <c r="AV60" i="33"/>
  <c r="N39" i="378"/>
  <c r="N41" i="378" s="1"/>
  <c r="N37" i="378"/>
  <c r="N50" i="378"/>
  <c r="N55" i="378" s="1"/>
  <c r="N57" i="378" s="1"/>
  <c r="I50" i="181"/>
  <c r="I49" i="181"/>
  <c r="C51" i="181"/>
  <c r="AQ50" i="378"/>
  <c r="AQ55" i="378" s="1"/>
  <c r="AQ57" i="378" s="1"/>
  <c r="AQ39" i="378"/>
  <c r="AQ41" i="378" s="1"/>
  <c r="AQ37" i="378"/>
  <c r="BF25" i="33"/>
  <c r="BF38" i="33"/>
  <c r="K51" i="33"/>
  <c r="K56" i="33" s="1"/>
  <c r="K58" i="33" s="1"/>
  <c r="K40" i="33"/>
  <c r="K42" i="33"/>
  <c r="K44" i="33" s="1"/>
  <c r="AJ39" i="378"/>
  <c r="AJ41" i="378" s="1"/>
  <c r="AJ37" i="378"/>
  <c r="AJ50" i="378"/>
  <c r="AJ55" i="378" s="1"/>
  <c r="AJ57" i="378" s="1"/>
  <c r="AH64" i="33"/>
  <c r="AH66" i="33" s="1"/>
  <c r="AH60" i="33"/>
  <c r="BD64" i="33"/>
  <c r="BD66" i="33" s="1"/>
  <c r="BD60" i="33"/>
  <c r="AF39" i="378"/>
  <c r="AF41" i="378" s="1"/>
  <c r="AF37" i="378"/>
  <c r="AF50" i="378"/>
  <c r="AF55" i="378" s="1"/>
  <c r="AF57" i="378" s="1"/>
  <c r="T70" i="376"/>
  <c r="T72" i="376"/>
  <c r="AJ38" i="33"/>
  <c r="AJ25" i="33"/>
  <c r="AG88" i="344"/>
  <c r="D66" i="33"/>
  <c r="D69" i="33"/>
  <c r="AB51" i="33"/>
  <c r="AB56" i="33" s="1"/>
  <c r="AB58" i="33" s="1"/>
  <c r="AB40" i="33"/>
  <c r="AB42" i="33"/>
  <c r="AB44" i="33" s="1"/>
  <c r="AE88" i="344"/>
  <c r="AA37" i="378"/>
  <c r="AA39" i="378"/>
  <c r="AA41" i="378" s="1"/>
  <c r="AA50" i="378"/>
  <c r="AA55" i="378" s="1"/>
  <c r="AA57" i="378" s="1"/>
  <c r="E35" i="378"/>
  <c r="E21" i="378"/>
  <c r="J52" i="183"/>
  <c r="J51" i="183"/>
  <c r="C53" i="183"/>
  <c r="AB21" i="378"/>
  <c r="AB35" i="378"/>
  <c r="Q39" i="378"/>
  <c r="Q41" i="378" s="1"/>
  <c r="Q37" i="378"/>
  <c r="Q50" i="378"/>
  <c r="Q55" i="378" s="1"/>
  <c r="Q57" i="378" s="1"/>
  <c r="R37" i="378"/>
  <c r="R39" i="378"/>
  <c r="R41" i="378" s="1"/>
  <c r="R50" i="378"/>
  <c r="R55" i="378" s="1"/>
  <c r="R57" i="378" s="1"/>
  <c r="C18" i="181"/>
  <c r="AO51" i="33"/>
  <c r="AO56" i="33" s="1"/>
  <c r="AO58" i="33" s="1"/>
  <c r="AO40" i="33"/>
  <c r="AO42" i="33"/>
  <c r="AO44" i="33" s="1"/>
  <c r="Q64" i="33"/>
  <c r="Q66" i="33" s="1"/>
  <c r="Q60" i="33"/>
  <c r="F21" i="378"/>
  <c r="F35" i="378"/>
  <c r="AG50" i="378"/>
  <c r="AG55" i="378" s="1"/>
  <c r="AG57" i="378" s="1"/>
  <c r="AG37" i="378"/>
  <c r="AG39" i="378"/>
  <c r="AG41" i="378" s="1"/>
  <c r="K21" i="378"/>
  <c r="K35" i="378"/>
  <c r="AZ39" i="378"/>
  <c r="AZ41" i="378" s="1"/>
  <c r="AZ37" i="378"/>
  <c r="AZ50" i="378"/>
  <c r="AZ55" i="378" s="1"/>
  <c r="AZ57" i="378" s="1"/>
  <c r="X50" i="378"/>
  <c r="X55" i="378" s="1"/>
  <c r="X57" i="378" s="1"/>
  <c r="X39" i="378"/>
  <c r="X41" i="378" s="1"/>
  <c r="X37" i="378"/>
  <c r="AL21" i="378"/>
  <c r="AL35" i="378"/>
  <c r="AU37" i="378"/>
  <c r="AU39" i="378"/>
  <c r="AU41" i="378" s="1"/>
  <c r="AU50" i="378"/>
  <c r="AU55" i="378" s="1"/>
  <c r="AU57" i="378" s="1"/>
  <c r="AL50" i="378" l="1"/>
  <c r="AL55" i="378" s="1"/>
  <c r="AL57" i="378" s="1"/>
  <c r="AL39" i="378"/>
  <c r="AL41" i="378" s="1"/>
  <c r="AL37" i="378"/>
  <c r="K50" i="378"/>
  <c r="K55" i="378" s="1"/>
  <c r="K57" i="378" s="1"/>
  <c r="K37" i="378"/>
  <c r="K39" i="378"/>
  <c r="K41" i="378" s="1"/>
  <c r="AB64" i="33"/>
  <c r="AB66" i="33" s="1"/>
  <c r="AB60" i="33"/>
  <c r="E50" i="378"/>
  <c r="E55" i="378" s="1"/>
  <c r="E57" i="378" s="1"/>
  <c r="E39" i="378"/>
  <c r="E41" i="378" s="1"/>
  <c r="E37" i="378"/>
  <c r="J60" i="33"/>
  <c r="J64" i="33"/>
  <c r="J66" i="33" s="1"/>
  <c r="AB50" i="378"/>
  <c r="AB55" i="378" s="1"/>
  <c r="AB57" i="378" s="1"/>
  <c r="AB39" i="378"/>
  <c r="AB41" i="378" s="1"/>
  <c r="AB37" i="378"/>
  <c r="BI40" i="33"/>
  <c r="BI42" i="33"/>
  <c r="BI44" i="33" s="1"/>
  <c r="BI51" i="33"/>
  <c r="BI56" i="33" s="1"/>
  <c r="BI58" i="33" s="1"/>
  <c r="AO60" i="33"/>
  <c r="AO64" i="33"/>
  <c r="AO66" i="33" s="1"/>
  <c r="K60" i="33"/>
  <c r="K64" i="33"/>
  <c r="K66" i="33" s="1"/>
  <c r="AG64" i="33"/>
  <c r="AG66" i="33" s="1"/>
  <c r="AG60" i="33"/>
  <c r="I60" i="33"/>
  <c r="I64" i="33"/>
  <c r="I66" i="33" s="1"/>
  <c r="F50" i="378"/>
  <c r="F55" i="378" s="1"/>
  <c r="F57" i="378" s="1"/>
  <c r="F39" i="378"/>
  <c r="F41" i="378" s="1"/>
  <c r="F37" i="378"/>
  <c r="AJ40" i="33"/>
  <c r="AJ42" i="33"/>
  <c r="AJ44" i="33" s="1"/>
  <c r="AJ51" i="33"/>
  <c r="AJ56" i="33" s="1"/>
  <c r="AJ58" i="33" s="1"/>
  <c r="BF40" i="33"/>
  <c r="BF42" i="33"/>
  <c r="BF44" i="33" s="1"/>
  <c r="BF51" i="33"/>
  <c r="BF56" i="33" s="1"/>
  <c r="BF58" i="33" s="1"/>
  <c r="S50" i="378"/>
  <c r="S55" i="378" s="1"/>
  <c r="S57" i="378" s="1"/>
  <c r="S39" i="378"/>
  <c r="S41" i="378" s="1"/>
  <c r="S37" i="378"/>
  <c r="F60" i="33"/>
  <c r="F64" i="33"/>
  <c r="F66" i="33" s="1"/>
  <c r="J50" i="378"/>
  <c r="J55" i="378" s="1"/>
  <c r="J57" i="378" s="1"/>
  <c r="J39" i="378"/>
  <c r="J41" i="378" s="1"/>
  <c r="J37" i="378"/>
  <c r="P64" i="33"/>
  <c r="P66" i="33" s="1"/>
  <c r="P60" i="33"/>
  <c r="BF64" i="33" l="1"/>
  <c r="BF66" i="33" s="1"/>
  <c r="BF60" i="33"/>
  <c r="BI64" i="33"/>
  <c r="BI66" i="33" s="1"/>
  <c r="BI60" i="33"/>
  <c r="AJ64" i="33"/>
  <c r="AJ66" i="33" s="1"/>
  <c r="AJ60"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Elena Moreno</author>
  </authors>
  <commentList>
    <comment ref="B63" authorId="0" shapeId="0" xr:uid="{EE374638-7871-4236-BD4C-B86AE397BFCF}">
      <text>
        <r>
          <rPr>
            <b/>
            <sz val="9"/>
            <color indexed="81"/>
            <rFont val="Tahoma"/>
            <family val="2"/>
          </rPr>
          <t>María Elena Moreno:</t>
        </r>
        <r>
          <rPr>
            <sz val="9"/>
            <color indexed="81"/>
            <rFont val="Tahoma"/>
            <family val="2"/>
          </rPr>
          <t xml:space="preserve">
incluye otros pasivos no fros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Elena Moreno</author>
  </authors>
  <commentList>
    <comment ref="B62" authorId="0" shapeId="0" xr:uid="{E83776AA-4004-47FA-9BA4-82F259052EDE}">
      <text>
        <r>
          <rPr>
            <b/>
            <sz val="9"/>
            <color indexed="81"/>
            <rFont val="Tahoma"/>
            <family val="2"/>
          </rPr>
          <t>María Elena Moreno:</t>
        </r>
        <r>
          <rPr>
            <sz val="9"/>
            <color indexed="81"/>
            <rFont val="Tahoma"/>
            <family val="2"/>
          </rPr>
          <t xml:space="preserve">
incluye otros pasivos no fros</t>
        </r>
      </text>
    </comment>
  </commentList>
</comments>
</file>

<file path=xl/sharedStrings.xml><?xml version="1.0" encoding="utf-8"?>
<sst xmlns="http://schemas.openxmlformats.org/spreadsheetml/2006/main" count="761" uniqueCount="391">
  <si>
    <t>GRUPO ARGOS S.A.</t>
  </si>
  <si>
    <t>En millones de pesos colombianos o de dólares americanos</t>
  </si>
  <si>
    <t>Utilidad bruta</t>
  </si>
  <si>
    <t>Margen bruto</t>
  </si>
  <si>
    <t>Administración</t>
  </si>
  <si>
    <t>EBITDA</t>
  </si>
  <si>
    <t>Margen EBITDA</t>
  </si>
  <si>
    <t>Utilidad antes de impuestos</t>
  </si>
  <si>
    <t>Margen neto</t>
  </si>
  <si>
    <t>Costo de ventas negocio inmobiliario</t>
  </si>
  <si>
    <t>Otros ingresos</t>
  </si>
  <si>
    <t>Otros egresos</t>
  </si>
  <si>
    <t>Ventas</t>
  </si>
  <si>
    <t>Utilidad por actividades de operación</t>
  </si>
  <si>
    <t>Otros ingresos y egresos</t>
  </si>
  <si>
    <t>Financieros, neto</t>
  </si>
  <si>
    <t>Ingresos y egresos no operacionales</t>
  </si>
  <si>
    <t>Ingresos por dividendos</t>
  </si>
  <si>
    <t>Diferencia en cambio, neto</t>
  </si>
  <si>
    <t>Participación neta en resultados de asociadas</t>
  </si>
  <si>
    <t>Impuesto a la riqueza</t>
  </si>
  <si>
    <t>ESTADO DE RESULTADOS CONSOLIDADO</t>
  </si>
  <si>
    <t>Costo de ventas de bienes y servicios</t>
  </si>
  <si>
    <t>Depreciación y amortización de administración</t>
  </si>
  <si>
    <t>Depreciación y amortización de ventas</t>
  </si>
  <si>
    <t>Depreciación y amortización</t>
  </si>
  <si>
    <t>Costo de actividades ordinarias</t>
  </si>
  <si>
    <t>Ingresos negocio inmobiliario</t>
  </si>
  <si>
    <t>Participaciones no controladoras</t>
  </si>
  <si>
    <t>Participación controladora</t>
  </si>
  <si>
    <t>Inventarios</t>
  </si>
  <si>
    <t>Inversiones permanentes</t>
  </si>
  <si>
    <t>Otros activos</t>
  </si>
  <si>
    <t>Obligaciones financieras</t>
  </si>
  <si>
    <t>Otros pasivos</t>
  </si>
  <si>
    <t>Reservas</t>
  </si>
  <si>
    <t>Efectivo y equivalentes de efectivo</t>
  </si>
  <si>
    <t>Intangibles, neto</t>
  </si>
  <si>
    <t>Propiedades de inversión</t>
  </si>
  <si>
    <t>Bonos y otros instrumentos financieros</t>
  </si>
  <si>
    <t>En millones de pesos colombianos</t>
  </si>
  <si>
    <t>Devoluciones y descuentos en ventas</t>
  </si>
  <si>
    <t>Otras cuentas por pagar</t>
  </si>
  <si>
    <t>M.P.P de asociadas en Consolidado</t>
  </si>
  <si>
    <t>Utilidad (pérdida) neta</t>
  </si>
  <si>
    <t>Utilidad (pérdida) atribuible a:</t>
  </si>
  <si>
    <t>Margen</t>
  </si>
  <si>
    <t>Margen por actividades de operación</t>
  </si>
  <si>
    <t>US$ dólares</t>
  </si>
  <si>
    <t>Ingresos de actividad financiera</t>
  </si>
  <si>
    <t>ESTADO DE RESULTADOS SEPARADO</t>
  </si>
  <si>
    <t>Total activo corriente</t>
  </si>
  <si>
    <t>Patrimonio</t>
  </si>
  <si>
    <t>PP&amp;E, neto</t>
  </si>
  <si>
    <t>Total activo no corriente</t>
  </si>
  <si>
    <t>Total activo</t>
  </si>
  <si>
    <t>Total pasivo corriente</t>
  </si>
  <si>
    <t>Total pasivo no corriente</t>
  </si>
  <si>
    <t>Total pasivo</t>
  </si>
  <si>
    <t>Total pasivo + patrimonio</t>
  </si>
  <si>
    <t xml:space="preserve">Act.no corrientes mant. para la vta. </t>
  </si>
  <si>
    <t>Bonos y otros instrumentos fcieros.</t>
  </si>
  <si>
    <t>Componentes de otros resultado integral</t>
  </si>
  <si>
    <t>Celsia</t>
  </si>
  <si>
    <t>Grupo Argos</t>
  </si>
  <si>
    <t>Grupo</t>
  </si>
  <si>
    <t>Argos</t>
  </si>
  <si>
    <t>Total por valoraciones de inst. fcieros</t>
  </si>
  <si>
    <t>Valoracion I. F.</t>
  </si>
  <si>
    <t>Anexo Financieros:</t>
  </si>
  <si>
    <t>Efecto neto por intereses</t>
  </si>
  <si>
    <t>Ingresos por intereses</t>
  </si>
  <si>
    <t>Otros gastos financieros, neto</t>
  </si>
  <si>
    <t>Anexo Financieros Grupo Argos Consolidado:</t>
  </si>
  <si>
    <t>Gastos por intereses</t>
  </si>
  <si>
    <t>Pérdida por valoraciones de inst. fcieros</t>
  </si>
  <si>
    <t>Efecto neto en financieros</t>
  </si>
  <si>
    <t>REAL</t>
  </si>
  <si>
    <t>Jun. 15
NIIF</t>
  </si>
  <si>
    <t>Utilidad neta</t>
  </si>
  <si>
    <t>Gasto Intereses</t>
  </si>
  <si>
    <t>Total gasto  por intereses</t>
  </si>
  <si>
    <t>Jun. 14
NIIF</t>
  </si>
  <si>
    <t xml:space="preserve">Instrumentos financieros derivados </t>
  </si>
  <si>
    <t>Utilidad de operaciones continuas</t>
  </si>
  <si>
    <t>Pasivos asociados con activos mant. p. venta</t>
  </si>
  <si>
    <t>Otros componentes del patrimono</t>
  </si>
  <si>
    <t>ESTADO DE SITUACION FINANCIERA</t>
  </si>
  <si>
    <t>Depreciación y amortización administración</t>
  </si>
  <si>
    <t>Depreciación y amortizaciones ventas</t>
  </si>
  <si>
    <t>OTRO RESULTADO INTEGRAL</t>
  </si>
  <si>
    <t xml:space="preserve">En millones de pesos colombianos </t>
  </si>
  <si>
    <t>Feb. 15
NIIF</t>
  </si>
  <si>
    <t>Feb. 14
NIIF</t>
  </si>
  <si>
    <t>Partidas que no se reclasificarán a resultados</t>
  </si>
  <si>
    <t>Nuevas mediciones de obligaciones por beneficios definidos</t>
  </si>
  <si>
    <t>Ganancias y pérdidas de inversiones patrimoniales</t>
  </si>
  <si>
    <t xml:space="preserve">Resultado integral total </t>
  </si>
  <si>
    <t>Mar. 15
NIIF</t>
  </si>
  <si>
    <t>Mar. 14
NIIF</t>
  </si>
  <si>
    <t>Patrimonio atribuible a los controladores</t>
  </si>
  <si>
    <t>2014</t>
  </si>
  <si>
    <t>2015</t>
  </si>
  <si>
    <t>Otros</t>
  </si>
  <si>
    <t>VARIACIÓN INGRESOS</t>
  </si>
  <si>
    <t>Ingresos</t>
  </si>
  <si>
    <t>Dif</t>
  </si>
  <si>
    <t>Cemento</t>
  </si>
  <si>
    <t>Energía</t>
  </si>
  <si>
    <t>Carbón</t>
  </si>
  <si>
    <t>Inmobiliario</t>
  </si>
  <si>
    <t>Corporativos</t>
  </si>
  <si>
    <t>DE LOS EEFF</t>
  </si>
  <si>
    <t>Var.</t>
  </si>
  <si>
    <t>Ppto %</t>
  </si>
  <si>
    <t>Ingresos (opción 2)</t>
  </si>
  <si>
    <t>Frente a Ppto. 2011</t>
  </si>
  <si>
    <t>Ppto</t>
  </si>
  <si>
    <t>Real 11</t>
  </si>
  <si>
    <t>Cumpl.</t>
  </si>
  <si>
    <t>Colombia</t>
  </si>
  <si>
    <t>EE.UU.</t>
  </si>
  <si>
    <t>Caribe</t>
  </si>
  <si>
    <t>EBITDA (opción 2)</t>
  </si>
  <si>
    <t>ebitda</t>
  </si>
  <si>
    <t>VARIACIÓN UTILIDAD NETA</t>
  </si>
  <si>
    <t>Neta</t>
  </si>
  <si>
    <t>Intereses pagados</t>
  </si>
  <si>
    <t>Sep. 14
NIIF</t>
  </si>
  <si>
    <t>Sep. 15
NIIF</t>
  </si>
  <si>
    <t>Tasas</t>
  </si>
  <si>
    <t>Activos biológicos</t>
  </si>
  <si>
    <t>Provisiones</t>
  </si>
  <si>
    <t>Pasivos estimados por beneficios a empleados</t>
  </si>
  <si>
    <t>Impuestos diferidos</t>
  </si>
  <si>
    <t>Impuesto diferido</t>
  </si>
  <si>
    <t>Instrumentos financieros derivados</t>
  </si>
  <si>
    <t>Pasivos por impuestos</t>
  </si>
  <si>
    <t>Pasivos comerciales y otras CxP</t>
  </si>
  <si>
    <t>Prima en colocación de acciones</t>
  </si>
  <si>
    <t>Utilidad (pérdida) retenidas</t>
  </si>
  <si>
    <t>Ingresos por actividades de operación</t>
  </si>
  <si>
    <t>Ingresos por ventas de bienes y servicios</t>
  </si>
  <si>
    <t>Participación neta en resultados de asociadas y negocios conjuntos</t>
  </si>
  <si>
    <t>Costo de actividad financiera</t>
  </si>
  <si>
    <t>Costo del negocio inmobiliario</t>
  </si>
  <si>
    <t>Gastos de estructura</t>
  </si>
  <si>
    <t>Impuestos de renta</t>
  </si>
  <si>
    <t>Utilidad (Pérdida) neta de operaciones discontinuas</t>
  </si>
  <si>
    <t>Cuentas comerciales clientes y otras cuentas por cobrar, neto</t>
  </si>
  <si>
    <t>Capital social</t>
  </si>
  <si>
    <t>Utilidad (pérdida) del ejercicio</t>
  </si>
  <si>
    <t>Dic. 14
NIIF</t>
  </si>
  <si>
    <t>Dic. 15
NIIF</t>
  </si>
  <si>
    <t xml:space="preserve">                                                                                              </t>
  </si>
  <si>
    <t>Efectivo restringido</t>
  </si>
  <si>
    <t>Ingresos y egresos otros</t>
  </si>
  <si>
    <t>Gastos pagados por anticipado y otros activos no financieros</t>
  </si>
  <si>
    <t>Resultado, neto por método de participación</t>
  </si>
  <si>
    <t>Concesiones</t>
  </si>
  <si>
    <t>Ppto a dic. 2011</t>
  </si>
  <si>
    <t>Real a dic. 2011</t>
  </si>
  <si>
    <t>Portafolio</t>
  </si>
  <si>
    <t xml:space="preserve">Ajustes por: </t>
  </si>
  <si>
    <t>Gastos reconocidos con respecto a beneficios a empleados y provisiones</t>
  </si>
  <si>
    <t>Depreciación y amortización de activos no corrientes</t>
  </si>
  <si>
    <t>Impuesto a la renta pagado</t>
  </si>
  <si>
    <t>Adquisición de propiedades, planta y equipo</t>
  </si>
  <si>
    <t>Producto de la venta de propiedades, planta y equipo</t>
  </si>
  <si>
    <t>Adquisición de propiedades de inversión</t>
  </si>
  <si>
    <t>Producto de la venta de propiedades de inversión</t>
  </si>
  <si>
    <t>Adquisición de activos intangibles</t>
  </si>
  <si>
    <t>Adquisición de otros activos no corrientes</t>
  </si>
  <si>
    <t>Producto de la venta de otros activos no corrientes</t>
  </si>
  <si>
    <t>Adquisición de activos financieros</t>
  </si>
  <si>
    <t>Producto de la venta de activos financieros</t>
  </si>
  <si>
    <t>2016</t>
  </si>
  <si>
    <t>Mar. 16
NIIF</t>
  </si>
  <si>
    <t>Jun. 16
NIIF</t>
  </si>
  <si>
    <t xml:space="preserve"> </t>
  </si>
  <si>
    <t>VARIACIÓN EBITDA</t>
  </si>
  <si>
    <t>Participación en el resultado de asociadas y negocios conjuntos</t>
  </si>
  <si>
    <t>Sep. 16
NIIF</t>
  </si>
  <si>
    <t>Dic.2015
(Reexpresado)</t>
  </si>
  <si>
    <t>-</t>
  </si>
  <si>
    <t>Dic. 15 reex
NIIF</t>
  </si>
  <si>
    <t>Dic. 16
NIIF</t>
  </si>
  <si>
    <t>Ingresos recibidos por anticipado</t>
  </si>
  <si>
    <t>FLUJOS DE EFECTIVO POR ACTIVIDADES DE OPERACIÓN</t>
  </si>
  <si>
    <t>FLUJOS DE EFECTIVO POR ACTIVIDADES DE INVERSIÓN</t>
  </si>
  <si>
    <t>FLUJOS DE EFECTIVO POR ACTIVIDADES DE FINANCIACIÓN</t>
  </si>
  <si>
    <t>Pasivos por beneficios a empleados</t>
  </si>
  <si>
    <t>Otros ajustes para conciliar los resultados del año</t>
  </si>
  <si>
    <t>2017</t>
  </si>
  <si>
    <t>Mar. 17
NIIF</t>
  </si>
  <si>
    <t>Mar. 16 reex
NIIF</t>
  </si>
  <si>
    <t>Ingresos marzo 2016</t>
  </si>
  <si>
    <t>Real marzo 2016</t>
  </si>
  <si>
    <t>Real marzo 2017</t>
  </si>
  <si>
    <t>Ingresos marzo 2017</t>
  </si>
  <si>
    <t>Ppto marzo 2017</t>
  </si>
  <si>
    <t>EBITDA marzo 2016</t>
  </si>
  <si>
    <t>EBITDA marzo 2017</t>
  </si>
  <si>
    <t>Utilidad neta marzo 2016</t>
  </si>
  <si>
    <t>Utilidad neta marzo 2017</t>
  </si>
  <si>
    <t>dic.15
(Reexpresado)</t>
  </si>
  <si>
    <t>mar.16
(Reexpresado)</t>
  </si>
  <si>
    <t>jun.16
(Reexpresado)</t>
  </si>
  <si>
    <t>Jun. 16 reex
NIIF</t>
  </si>
  <si>
    <t>Jun. 17
NIIF</t>
  </si>
  <si>
    <t>sep.16
(Reexpresado)</t>
  </si>
  <si>
    <t>Sep. 16 reex
NIIF</t>
  </si>
  <si>
    <t>Sep. 17
NIIF</t>
  </si>
  <si>
    <t>Sep. 16 
(Reexpresado)</t>
  </si>
  <si>
    <t>Otros Activos Financieros</t>
  </si>
  <si>
    <t>Ajustes por:</t>
  </si>
  <si>
    <t>Efectos de la variación de tasas de cambio sobre el efectivo y equivalentes de efectivo mantenidos en moneda extranjera</t>
  </si>
  <si>
    <t>(1) El informe trimestral de 2017 y re-expresando la información comparativa, se reclasifican desde otros gastos operacionales a gasto por impuesto de renta los impuestos no recuperables por retención en la fuente que deben asumir algunas de nuestras operaciones en Islas Virgines Británicas.  El Grupo considera que este cambio en presentación permite reflejar más fiablemente los resultados provenientes de la operación.</t>
  </si>
  <si>
    <t xml:space="preserve">Jun. 16 reex 
NIIF </t>
  </si>
  <si>
    <t xml:space="preserve">Sep. 16 reex 
NIIF </t>
  </si>
  <si>
    <t>Dic. 17
NIIF</t>
  </si>
  <si>
    <t xml:space="preserve">Dic. 16 reex
NIIF </t>
  </si>
  <si>
    <t>Otros activos financieros</t>
  </si>
  <si>
    <t>UTILIDAD NETA</t>
  </si>
  <si>
    <t>Restitución de aportes</t>
  </si>
  <si>
    <t>dic-2016 Proforma</t>
  </si>
  <si>
    <t>Dic. 16
NIIF Proforma</t>
  </si>
  <si>
    <t>Intereses financieros recibidos</t>
  </si>
  <si>
    <t>Ingresos por dividendos y participaciones</t>
  </si>
  <si>
    <t>2018</t>
  </si>
  <si>
    <t>Mar. 18
NIIF</t>
  </si>
  <si>
    <t>Mar. 17
NIIF (1)</t>
  </si>
  <si>
    <t xml:space="preserve">(1) Grupo ha cambiado en el Estado de Resultados Consolidado Condensado comparativo, la clasificación de los impuestos no recuperables por retención en la fuente, que deben asumir algunas de las operaciones en Islas Vírgenes Británicas desde otros egresos operacionales a gasto por impuesto a las ganancias. Asimismo, fue reclasificado del gasto de administración al costo, la contraprestación pagada a la Aerocivil como consecuencia del contrato de concesión del Aeropuerto Internacional el Dorado y la comisión por tasas aeroportuarias, de la subsidiaria Sociedad Concesionaria Operadora Aeroportuaria Internacional S.A. – Opain S.A. Grupo considera que este cambio en presentación permite reflejar más fiablemente los resultados provenientes de la operación. </t>
  </si>
  <si>
    <t>Mar. 17
NIIF Proforma</t>
  </si>
  <si>
    <t>Jun. 18
NIIF</t>
  </si>
  <si>
    <t>Sep. 18
NIIF</t>
  </si>
  <si>
    <t>Dic. 18
NIIF</t>
  </si>
  <si>
    <t>CAMBIOS EN EL CAPITAL DE TRABAJO DE:</t>
  </si>
  <si>
    <t>EFECTIVO GENERADO POR LAS OPERACIONES</t>
  </si>
  <si>
    <t>Venta de negocios con pérdida del control</t>
  </si>
  <si>
    <t>Jun. 17
NIIF (1)</t>
  </si>
  <si>
    <t>Deterioro, neto de activos no corrientes e inventario</t>
  </si>
  <si>
    <t>Dividendos pagados acciones ordinarias</t>
  </si>
  <si>
    <t>Dividendos pagados acciones preferenciales</t>
  </si>
  <si>
    <t>Sep. 17
NIIF (1)</t>
  </si>
  <si>
    <t>Mar. 18
NIIF (1)</t>
  </si>
  <si>
    <t>Jun. 18
NIIF (1)</t>
  </si>
  <si>
    <t>Dic. 17
NIIF (1)</t>
  </si>
  <si>
    <t>Jun. 17
NIIF Proform</t>
  </si>
  <si>
    <t>Sep. 17
NIIF Proform</t>
  </si>
  <si>
    <t>2019</t>
  </si>
  <si>
    <t>Activos por derecho de uso propiedades, plantas y equipo</t>
  </si>
  <si>
    <t>Pasivos por arrendamientos</t>
  </si>
  <si>
    <t>Mar. 19
NIIF</t>
  </si>
  <si>
    <t>Pasivos por arrendamiento</t>
  </si>
  <si>
    <t>Jun. 19
NIIF</t>
  </si>
  <si>
    <t>Sep. 19
NIIF</t>
  </si>
  <si>
    <t>Dic. 19
NIIF</t>
  </si>
  <si>
    <t>Pagos por pasivos por arrendamientos</t>
  </si>
  <si>
    <t>FLUJO NETO DE EFECTIVO GENERADO POR ACTIVIDADES DE OPERACIÓN</t>
  </si>
  <si>
    <t>Activos por derecho de uso propiedades de inversión</t>
  </si>
  <si>
    <t>Jun. 19
NIIF (1)</t>
  </si>
  <si>
    <t>Gasto financiero, neto reconocido en resultados del periodo</t>
  </si>
  <si>
    <t xml:space="preserve">Dividendos y participaciones recibidas </t>
  </si>
  <si>
    <t>Pagos realizados a contratos de derivados financieros</t>
  </si>
  <si>
    <t>Cobros procedentes de contratos de derivados financieros</t>
  </si>
  <si>
    <t>Otros pasivos no financieros</t>
  </si>
  <si>
    <t xml:space="preserve">Jun. 19
NIIF </t>
  </si>
  <si>
    <t xml:space="preserve">Sep. 19
NIIF </t>
  </si>
  <si>
    <t>Sep. 18
NIIF (1)</t>
  </si>
  <si>
    <t>Mar. 19
NIIF (1)</t>
  </si>
  <si>
    <t>En junio se reclasifican ingreso y costo por venta de Omya por $62.681 y $44.158 respectivamente</t>
  </si>
  <si>
    <t xml:space="preserve">Dic. 19
NIIF </t>
  </si>
  <si>
    <t>Dic. 18
NIIF (1)</t>
  </si>
  <si>
    <t>Otros pasivos financieros</t>
  </si>
  <si>
    <t xml:space="preserve">Otros pasivos no financieros </t>
  </si>
  <si>
    <t xml:space="preserve">Otros pasivos financieros </t>
  </si>
  <si>
    <t>dic-18 (1)</t>
  </si>
  <si>
    <r>
      <t xml:space="preserve">(1) Grupo ha cambiado en el Estado de Resultados Consolidado comparativo, </t>
    </r>
    <r>
      <rPr>
        <sz val="10"/>
        <color rgb="FF000000"/>
        <rFont val="Franklin Gothic Book"/>
        <family val="2"/>
      </rPr>
      <t xml:space="preserve">del gasto de administración al costo, la contraprestación pagada a la Aerocivil como consecuencia del contrato de concesión del Aeropuerto Internacional el Dorado, la comisión por tasas aeroportuarias y la amortización del intangible asociado a dicha concesión, de la subsidiaria Sociedad Concesionaria Operadora Aeroportuaria Internacional S.A. – Opain S.A. </t>
    </r>
    <r>
      <rPr>
        <sz val="10"/>
        <rFont val="Franklin Gothic Book"/>
        <family val="2"/>
      </rPr>
      <t xml:space="preserve">Grupo considera que este cambio en presentación permite reflejar más fiablemente los resultados provenientes de la operación. </t>
    </r>
  </si>
  <si>
    <t xml:space="preserve">Grupo ha cambiado en el Estado de Resultados Consolidado comparativo, del gasto por diferencia en cambio a los ingresos de actividades ordinarias, el efecto de la reclasificación del patrimonio al resultado del periodo de las coberturas de flujo de efectivo de transacciones previstas de la subsidiaria Sociedad Concesionaria Operadora Aeroportuaria Internacional S.A. – Opain S.A. por $19.337. </t>
  </si>
  <si>
    <t>Préstamos concedidos a terceros</t>
  </si>
  <si>
    <t>Pago de bonos, notas estructuradas y papeles comerciales</t>
  </si>
  <si>
    <t>Adquisición de otros instrumentos de financiación</t>
  </si>
  <si>
    <t>Pagos de otros instrumentos de financiación</t>
  </si>
  <si>
    <t>Mar. 20
NIIF (1)</t>
  </si>
  <si>
    <t>2020</t>
  </si>
  <si>
    <t>Mar. 20
NIIF</t>
  </si>
  <si>
    <t>Jun. 20
NIIF (1)</t>
  </si>
  <si>
    <t>Jun. 20
NIIF</t>
  </si>
  <si>
    <t>Sep. 20
NIIF</t>
  </si>
  <si>
    <t>Dic. 20
NIIF</t>
  </si>
  <si>
    <t>Utilidad por medición al valor razonable</t>
  </si>
  <si>
    <t>Deterioro, neto de activos financieros</t>
  </si>
  <si>
    <t>Sep. 20
NIIF (1)</t>
  </si>
  <si>
    <t>Dic. 20
NIIF (1)</t>
  </si>
  <si>
    <t>Pasivos comerciales y otras cuentas por pagar</t>
  </si>
  <si>
    <t>Adquisición y/o aportes en participaciones en asociadas y negocios conjuntos</t>
  </si>
  <si>
    <t>2021</t>
  </si>
  <si>
    <t>Mar. 21
NIIF (1)</t>
  </si>
  <si>
    <t>Mar. 21
NIIF</t>
  </si>
  <si>
    <t>ESTADO DE SITUACION FINANCIERA CONSOLIDADO</t>
  </si>
  <si>
    <t>ESTADO DE SITUACION FINANCIERA SEPARADO</t>
  </si>
  <si>
    <t>Jun. 21
NIIF (1)</t>
  </si>
  <si>
    <t>Jun. 21
NIIF</t>
  </si>
  <si>
    <t>Cobros procedentes de contratos de derivados financieros con cobertura de pasivos financieros</t>
  </si>
  <si>
    <t>Sep. 21
NIIF (1)</t>
  </si>
  <si>
    <t>Sep. 21
NIIF</t>
  </si>
  <si>
    <t>Dic. 21
NIIF (1)</t>
  </si>
  <si>
    <t>Dic. 21
NIIF</t>
  </si>
  <si>
    <t xml:space="preserve">Ingresos por dividendos y participaciones </t>
  </si>
  <si>
    <t>Otros ajustes</t>
  </si>
  <si>
    <t>Cuentas comerciales y otras cuentas por cobrar</t>
  </si>
  <si>
    <t>Cuentas comerciales y otras cuentas por pagar</t>
  </si>
  <si>
    <t>FLUJO DE EFECTIVO NETO GENERADO POR ACTIVIDADES DE OPERACIÓN</t>
  </si>
  <si>
    <t>Otras entradas de efectivo</t>
  </si>
  <si>
    <t>Efectivo y equivalentes de efectivo al principio del período</t>
  </si>
  <si>
    <t>Efectos de la variación en la tasa de cambio sobre el efectivo y equivalentes de efectivo mantenidos en moneda extranjera</t>
  </si>
  <si>
    <t>Mar. 22
NIIF (1)</t>
  </si>
  <si>
    <t>2022</t>
  </si>
  <si>
    <t>Mar. 22
NIIF</t>
  </si>
  <si>
    <t>Otras salidas de efectivo</t>
  </si>
  <si>
    <t>Jun. 22
NIIF (1)</t>
  </si>
  <si>
    <t>Jun. 22
NIIF</t>
  </si>
  <si>
    <t>Utilidad neta por compra en términos ventajosos</t>
  </si>
  <si>
    <t>Producto de la venta de activos intangibles</t>
  </si>
  <si>
    <t>Adquisición del control de subsidiarias y otros negocios</t>
  </si>
  <si>
    <t>Cobros procedentes del reembolso de préstamos concedidos a terceros</t>
  </si>
  <si>
    <t>Compra de participaciones en la propiedad de subsidiarias que no dan lugar a obtención de control</t>
  </si>
  <si>
    <t>Capitalización de las participaciones no controladoras</t>
  </si>
  <si>
    <t xml:space="preserve">Deterioro, neto de activos financieros </t>
  </si>
  <si>
    <t>Producto de la venta de participaciones en subsidiaria</t>
  </si>
  <si>
    <t>Cobros procedentes del reembolso préstamos concedidos a terceros</t>
  </si>
  <si>
    <t>Pago de bonos</t>
  </si>
  <si>
    <t>EFECTIVO Y EQUIVALENTES DE EFECTIVO AL FINAL DEL PERÍODO</t>
  </si>
  <si>
    <t>Sep. 22
NIIF (1)</t>
  </si>
  <si>
    <t>Sep. 22
NIIF</t>
  </si>
  <si>
    <t xml:space="preserve">Grupo Argos S.A. </t>
  </si>
  <si>
    <t>Estado de flujos de efectivo separado condensado</t>
  </si>
  <si>
    <t xml:space="preserve">Grupo Argos S.A. y subsidiarias </t>
  </si>
  <si>
    <t>Dic. 22
NIIF (1)</t>
  </si>
  <si>
    <t>Dic. 22
NIIF</t>
  </si>
  <si>
    <t xml:space="preserve">Impuesto sobre las ganancias </t>
  </si>
  <si>
    <t xml:space="preserve">Provisiones </t>
  </si>
  <si>
    <t>Utilidad (pérdida) por venta y/o baja de activos no corrientes</t>
  </si>
  <si>
    <t>Anticipos recibidos para transacciones de activos no corrientes</t>
  </si>
  <si>
    <t>Restitución de deuda subordinada</t>
  </si>
  <si>
    <t>Emisión de acciones u otros instrumentos de capital de subsidiarias</t>
  </si>
  <si>
    <t>Emisión de bonos y papeles comerciales</t>
  </si>
  <si>
    <t>Efectivo y equivalentes de efectivo al principio del periodo, incluidos los importes presentados en un grupo de activos mantenidos para la venta</t>
  </si>
  <si>
    <t>EFECTIVO Y EQUIVALENTES DE EFECTIVO AL FINAL DEL PERÍODO, INCLUIDOS LOS IMPORTES PRESENTADOS EN UN GRUPO DE ACTIVOS MANTENIDOS PARA LA VENTA</t>
  </si>
  <si>
    <t>Menos efectivo y equivalentes de efectivo incluidos en un grupo de activos mantenidos para la venta</t>
  </si>
  <si>
    <t>EFECTIVO Y EQUIVALENTES DE EFECTIVO AL FINAL DEL PERÍODO SIN EL EFECTIVO Y EQUIVALENTES DE EFECTIVO INCLUIDOS EN UN GRUPO DE ACTIVOS MANTENIDOS PARA LA VENTA</t>
  </si>
  <si>
    <t>2023</t>
  </si>
  <si>
    <t>Acciones propias readquiridas</t>
  </si>
  <si>
    <t>Mar. 23
NIIF (1)</t>
  </si>
  <si>
    <t>Mar. 23
NIIF</t>
  </si>
  <si>
    <t>EFECTIVO UTILIZADO POR ACTIVIDADES DE OPERACIÓN</t>
  </si>
  <si>
    <t>Readquisición de acciones ordinarias</t>
  </si>
  <si>
    <t>Readquisición de acciones preferenciales</t>
  </si>
  <si>
    <t>Gasto por impuesto sobre las ganancias reconocido en resultados del periodo</t>
  </si>
  <si>
    <t>Diferencia en cambio, neta reconocida en resultados sobre instrumentos financieros</t>
  </si>
  <si>
    <t>Producto de la venta y restitución de aportes de participaciones en asociadas y negocios conjuntos</t>
  </si>
  <si>
    <t>Readquisición de acciones</t>
  </si>
  <si>
    <t>Jun. 23
NIIF</t>
  </si>
  <si>
    <t>Método de participación neta en resultados de subsidiarias</t>
  </si>
  <si>
    <t xml:space="preserve">Diferencia en cambio, neta reconocida en resultados sobre instrumentos financieros </t>
  </si>
  <si>
    <t>Dividendos recibidos e ingresos por otras participaciones</t>
  </si>
  <si>
    <t>Adquisición de propiedades planta y equipo</t>
  </si>
  <si>
    <t>FLUJO NETO DE EFECTIVO UTILIZADO EN ACTIVIDADES DE INVERSIÓN</t>
  </si>
  <si>
    <t>FLUJO NETO DE EFECTIVO UTILIZADO EN ACTIVIDADES DE FINANCIACIÓN</t>
  </si>
  <si>
    <t>(DISMINUCIÓN) NETA EN EFECTIVO Y EQUIVALENTES DE EFECTIVO</t>
  </si>
  <si>
    <t>Jun. 23
NIIF (1)</t>
  </si>
  <si>
    <t>Sep. 23
NIIF (1)</t>
  </si>
  <si>
    <r>
      <t>Producto de la venta de propiedades, planta y equipo</t>
    </r>
    <r>
      <rPr>
        <sz val="8"/>
        <color theme="1"/>
        <rFont val="Arial"/>
        <family val="2"/>
      </rPr>
      <t xml:space="preserve"> </t>
    </r>
  </si>
  <si>
    <r>
      <t>Adquisición de propiedades de inversión</t>
    </r>
    <r>
      <rPr>
        <sz val="8"/>
        <color theme="1"/>
        <rFont val="Arial"/>
        <family val="2"/>
      </rPr>
      <t xml:space="preserve"> </t>
    </r>
  </si>
  <si>
    <t>Adquisición de subsidiarias</t>
  </si>
  <si>
    <t>Producto de la venta de participaciones en asociadas y negocios conjuntos</t>
  </si>
  <si>
    <t>FLUJO DE EFECTIVO NETO (UTILIZADO) EN ACTIVIDADES DE FINANCIACIÓN</t>
  </si>
  <si>
    <t>Sep. 23
NIIF</t>
  </si>
  <si>
    <t>Dic. 23
NIIF (1)</t>
  </si>
  <si>
    <t>Dic. 23
NIIF</t>
  </si>
  <si>
    <t>Períodos intermedios que terminaron el 31 de diciembre| Expresado en millones de pesos colombianos</t>
  </si>
  <si>
    <t xml:space="preserve">RESULTADO DEL EJERCICIO </t>
  </si>
  <si>
    <t>Utilidad (perdida) reconocida con respecto a beneficios a empleados y provisiones</t>
  </si>
  <si>
    <t>Utilidad por venta de activos no corrientes</t>
  </si>
  <si>
    <t>Impuesto a la renta (pagado) recibido</t>
  </si>
  <si>
    <t>FLUJO NETO DE EFECTIVO GENERADO (UTILIZADO) POR ACTIVIDADES DE INVERSIÓN</t>
  </si>
  <si>
    <t>AUMENTO NETO EN EFECTIVO Y EQUIVALENTES DE EFECTIVO</t>
  </si>
  <si>
    <r>
      <t>Estado de flujos de efectivo</t>
    </r>
    <r>
      <rPr>
        <b/>
        <sz val="14"/>
        <color rgb="FF0C2D66"/>
        <rFont val="Arial"/>
        <family val="2"/>
      </rPr>
      <t xml:space="preserve"> consolidado condensado</t>
    </r>
  </si>
  <si>
    <t>Periodos que terminaron a 31 de diciembre | En millones de pesos colombianos</t>
  </si>
  <si>
    <t>1.814.496 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</si>
</sst>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1">
    <numFmt numFmtId="5" formatCode="&quot;$&quot;\ #,##0;\-&quot;$&quot;\ #,##0"/>
    <numFmt numFmtId="7" formatCode="&quot;$&quot;\ #,##0.00;\-&quot;$&quot;\ #,##0.00"/>
    <numFmt numFmtId="8" formatCode="&quot;$&quot;\ #,##0.00;[Red]\-&quot;$&quot;\ #,##0.00"/>
    <numFmt numFmtId="41" formatCode="_-* #,##0_-;\-* #,##0_-;_-* &quot;-&quot;_-;_-@_-"/>
    <numFmt numFmtId="43" formatCode="_-* #,##0.00_-;\-* #,##0.00_-;_-* &quot;-&quot;??_-;_-@_-"/>
    <numFmt numFmtId="164" formatCode="_-* #,##0.00\ &quot;€&quot;_-;\-* #,##0.00\ &quot;€&quot;_-;_-* &quot;-&quot;??\ &quot;€&quot;_-;_-@_-"/>
    <numFmt numFmtId="165" formatCode="_-* #,##0.00\ _€_-;\-* #,##0.00\ _€_-;_-* &quot;-&quot;??\ _€_-;_-@_-"/>
    <numFmt numFmtId="166" formatCode="_-&quot;$&quot;* #,##0.00_-;\-&quot;$&quot;* #,##0.00_-;_-&quot;$&quot;* &quot;-&quot;??_-;_-@_-"/>
    <numFmt numFmtId="167" formatCode="_(* #,##0.00_);_(* \(#,##0.00\);_(* &quot;-&quot;??_);_(@_)"/>
    <numFmt numFmtId="168" formatCode="0.0"/>
    <numFmt numFmtId="169" formatCode="0.0%"/>
    <numFmt numFmtId="170" formatCode="_(* #,##0_);_(* \(#,##0\);_(* &quot;--- &quot;_)"/>
    <numFmt numFmtId="171" formatCode="_(&quot;$&quot;* #,##0_);_(&quot;$&quot;* \(#,##0\);_(&quot;$&quot;* &quot;--- &quot;_)"/>
    <numFmt numFmtId="172" formatCode="#,##0.0000000000000_);[Red]\(#,##0.0000000000000\)"/>
    <numFmt numFmtId="173" formatCode="_(#,##0.0_);[Red]_(\(#,##0.0\);\ &quot;-- &quot;"/>
    <numFmt numFmtId="174" formatCode="#,##0.0_);[Red]\(#,##0.0\)"/>
    <numFmt numFmtId="175" formatCode="&quot;$&quot;#,##0_);\(&quot;$&quot;#,##0\)"/>
    <numFmt numFmtId="176" formatCode="&quot;$&quot;#,##0.00_);[Red]\(&quot;$&quot;#,##0.00\)"/>
    <numFmt numFmtId="177" formatCode="_ * #,##0.00_ ;_ * \-#,##0.00_ ;_ * &quot;-&quot;??_ ;_ @_ "/>
    <numFmt numFmtId="178" formatCode="&quot;$&quot;#,##0.00_);[Red]\(&quot;$&quot;#,##0.00\);&quot;--  &quot;;_(@_)"/>
    <numFmt numFmtId="179" formatCode="&quot;$&quot;#,##0.0_);[Red]\(&quot;$&quot;#,##0.0\)"/>
    <numFmt numFmtId="180" formatCode="mmm\-d\-yyyy"/>
    <numFmt numFmtId="181" formatCode="mmm\-yyyy"/>
    <numFmt numFmtId="182" formatCode="&quot;$&quot;#,##0.00_);\(&quot;$&quot;#,##0.00\)"/>
    <numFmt numFmtId="183" formatCode="_ [$€-2]\ * #,##0.00_ ;_ [$€-2]\ * \-#,##0.00_ ;_ [$€-2]\ * &quot;-&quot;??_ "/>
    <numFmt numFmtId="184" formatCode="_ * #,##0_ ;_ * \-#,##0_ ;_ * &quot;-&quot;_ ;_ @_ "/>
    <numFmt numFmtId="185" formatCode="#.00"/>
    <numFmt numFmtId="186" formatCode="###0_);\(###0\)"/>
    <numFmt numFmtId="187" formatCode="_ * #,##0.0_ ;_ * \-#,##0.0_ ;_ * &quot;-&quot;?_ ;_ @_ "/>
    <numFmt numFmtId="188" formatCode=";;;"/>
    <numFmt numFmtId="189" formatCode="#,##0;[Red]\(#,##0\)"/>
    <numFmt numFmtId="190" formatCode="#,##0.00\ &quot;Pts&quot;;\-#,##0.00\ &quot;Pts&quot;"/>
    <numFmt numFmtId="191" formatCode="#,##0.0000000_);\(#,##0.0000000\)"/>
    <numFmt numFmtId="192" formatCode="0.000000000"/>
    <numFmt numFmtId="193" formatCode="0.0%;[Red]\(0.0%\)"/>
    <numFmt numFmtId="194" formatCode="#,##0.000_);[Red]\(#,##0.000\)"/>
    <numFmt numFmtId="195" formatCode="#,##0.0_);\(#,##0.0\)"/>
    <numFmt numFmtId="196" formatCode="#,##0;\(#,##0\)"/>
    <numFmt numFmtId="197" formatCode="_-* #,##0\ _P_t_s_-;\-* #,##0\ _P_t_s_-;_-* &quot;-&quot;\ _P_t_s_-;_-@_-"/>
    <numFmt numFmtId="198" formatCode="_ * #,##0_ ;_ * \-#,##0_ ;_ * &quot;-&quot;??_ ;_ @_ "/>
    <numFmt numFmtId="199" formatCode="_(&quot;R$&quot;* #,##0_);_(&quot;R$&quot;* \(#,##0\);_(&quot;R$&quot;* &quot;-&quot;_);_(@_)"/>
    <numFmt numFmtId="200" formatCode="_(&quot;R$&quot;* #,##0.00_);_(&quot;R$&quot;* \(#,##0.00\);_(&quot;R$&quot;* &quot;-&quot;??_);_(@_)"/>
    <numFmt numFmtId="201" formatCode="_-* #,##0.00\ _p_t_a_-;\-* #,##0.00\ _p_t_a_-;_-* &quot;-&quot;??\ _p_t_a_-;_-@_-"/>
    <numFmt numFmtId="202" formatCode="_ &quot;$&quot;\ * #,##0.00_ ;_ &quot;$&quot;\ * \-#,##0.00_ ;_ &quot;$&quot;\ * &quot;-&quot;??_ ;_ @_ "/>
    <numFmt numFmtId="203" formatCode="_(* #,##0.0_);_(* \(#,##0.0\);_(* &quot;-&quot;?_);_(@_)"/>
    <numFmt numFmtId="204" formatCode="#,##0.00\x;\(#,##0.00\x\)"/>
    <numFmt numFmtId="205" formatCode="_(* #,##0.00000_);_(* \(#,##0.00000\);_(* &quot;-&quot;_);_(@_)"/>
    <numFmt numFmtId="206" formatCode="&quot;xxxx&quot;"/>
    <numFmt numFmtId="207" formatCode="#,##0.0_);[Red]\(#,##0.0\);&quot;--  &quot;"/>
    <numFmt numFmtId="208" formatCode="0.00_)"/>
    <numFmt numFmtId="209" formatCode="#,##0.000_);\(#,##0.000\)"/>
    <numFmt numFmtId="210" formatCode="#,##0.0_)\ \ ;[Red]\(#,##0.0\)\ \ "/>
    <numFmt numFmtId="211" formatCode="#,##0.00\x_);[Red]\(#,##0.00\x\);&quot;--  &quot;"/>
    <numFmt numFmtId="212" formatCode="#,##0.00_)&quot; &quot;;[Red]\(#,##0.00\)&quot; &quot;"/>
    <numFmt numFmtId="213" formatCode="0_);\(0\)"/>
    <numFmt numFmtId="214" formatCode="_(* #,##0.00\x_);_(* \(#,##0.00\x\);_(* &quot;-&quot;??_);_(@_)"/>
    <numFmt numFmtId="215" formatCode="_(* #,##0.0_);_(* \(#,##0.0\);_(* &quot;-&quot;_);_(@_)"/>
    <numFmt numFmtId="216" formatCode="0.0%;[Red]\(0.0%\);&quot;--  &quot;"/>
    <numFmt numFmtId="217" formatCode="&quot;Cr$&quot;#,##0_);[Red]\(&quot;Cr$&quot;#,##0\)"/>
    <numFmt numFmtId="218" formatCode="_(&quot;$&quot;* #,##0.00\x_);_(&quot;$&quot;* \(#,##0.00\x\);_(&quot;$&quot;* &quot;-&quot;??_);_(@_)"/>
    <numFmt numFmtId="219" formatCode="&quot;$&quot;#,##0.0_);\(&quot;$&quot;#,##0.0\)"/>
    <numFmt numFmtId="220" formatCode="#,##0.00\x;#,##0.00\x"/>
    <numFmt numFmtId="221" formatCode="\I\n\c\/\(d\ \ "/>
    <numFmt numFmtId="222" formatCode="#,##0.00000000_);\(#,##0.00000000\)"/>
    <numFmt numFmtId="223" formatCode="\ #,##0"/>
    <numFmt numFmtId="224" formatCode="yyyy"/>
    <numFmt numFmtId="225" formatCode="#,##0.00;\(#,##0.00\);_(* &quot;-&quot;_)"/>
    <numFmt numFmtId="226" formatCode="_(* #,##0.00\x_);_(* \(#,##0.00\x\);_(* &quot;-&quot;_);_(@_)"/>
    <numFmt numFmtId="227" formatCode="0.00\ "/>
    <numFmt numFmtId="228" formatCode="General_)"/>
    <numFmt numFmtId="229" formatCode="#,##0.00\ &quot;Pts&quot;;[Red]\-#,##0.00\ &quot;Pts&quot;"/>
    <numFmt numFmtId="230" formatCode="#,##0.0"/>
    <numFmt numFmtId="231" formatCode="_(* #,##0_);_(* \(#,##0\);_(* &quot;-&quot;??_);_(@_)"/>
    <numFmt numFmtId="232" formatCode="_-* #,##0\ _$_-;\-* #,##0\ _$_-;_-* &quot;-&quot;\ _$_-;_-@_-"/>
    <numFmt numFmtId="233" formatCode="\_x0000_\_x0000__(* #,##0_);_(* \(#,##0\);_(* &quot;-&quot;_);_(@"/>
    <numFmt numFmtId="234" formatCode="\_x0000_\_x0000__(* #,##0.00_);_(* \(#,##0.00\);_(* &quot;-&quot;??_);_(@"/>
    <numFmt numFmtId="235" formatCode="\_x0000_\_x0000__(&quot;$&quot;* #,##0_);_(&quot;$&quot;* \(#,##0\);_(&quot;$&quot;* &quot;-&quot;_);_(@"/>
    <numFmt numFmtId="236" formatCode="\_x0000_\_x0000__(&quot;$&quot;* #,##0.00_);_(&quot;$&quot;* \(#,##0.00\);_(&quot;$&quot;* &quot;-&quot;??_);_(@"/>
    <numFmt numFmtId="237" formatCode="_-* #,##0\ _€_-;\-* #,##0\ _€_-;_-* &quot;-&quot;??\ _€_-;_-@_-"/>
    <numFmt numFmtId="238" formatCode="_ * #,##0.000_ ;_ * \-#,##0.000_ ;_ * &quot;-&quot;??_ ;_ @_ "/>
    <numFmt numFmtId="239" formatCode="#,##0.0;\-#,##0.0"/>
    <numFmt numFmtId="240" formatCode="#,##0.000"/>
    <numFmt numFmtId="241" formatCode="_-* #,##0.00\ _$_-;\-* #,##0.00\ _$_-;_-* &quot;-&quot;??\ _$_-;_-@_-"/>
    <numFmt numFmtId="242" formatCode="###,000"/>
    <numFmt numFmtId="243" formatCode="_-* #,##0.00_$_-;\-* #,##0.00_$_-;_-* &quot;-&quot;??_$_-;_-@_-"/>
    <numFmt numFmtId="244" formatCode="0.0000"/>
    <numFmt numFmtId="245" formatCode="0.00000000"/>
    <numFmt numFmtId="246" formatCode="#,##0&quot;$&quot;;\-#,##0&quot;$&quot;"/>
    <numFmt numFmtId="247" formatCode="#,##0.00&quot;$&quot;;\-#,##0.00&quot;$&quot;"/>
    <numFmt numFmtId="248" formatCode="#,##0.00&quot;$&quot;;[Red]\-#,##0.00&quot;$&quot;"/>
    <numFmt numFmtId="249" formatCode="_-* #,##0_-;\-* #,##0_-;_-* &quot;-&quot;??_-;_-@_-"/>
  </numFmts>
  <fonts count="28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0"/>
      <color indexed="8"/>
      <name val="Arial"/>
      <family val="2"/>
    </font>
    <font>
      <sz val="10"/>
      <color indexed="8"/>
      <name val="Arial"/>
      <family val="2"/>
    </font>
    <font>
      <sz val="10"/>
      <name val="Arial"/>
      <family val="2"/>
    </font>
    <font>
      <b/>
      <sz val="10"/>
      <color indexed="9"/>
      <name val="Arial"/>
      <family val="2"/>
    </font>
    <font>
      <b/>
      <sz val="10"/>
      <color indexed="53"/>
      <name val="Arial"/>
      <family val="2"/>
    </font>
    <font>
      <i/>
      <sz val="10"/>
      <color indexed="8"/>
      <name val="Arial"/>
      <family val="2"/>
    </font>
    <font>
      <b/>
      <i/>
      <sz val="10"/>
      <color indexed="8"/>
      <name val="Arial"/>
      <family val="2"/>
    </font>
    <font>
      <sz val="12"/>
      <color indexed="8"/>
      <name val="Arial"/>
      <family val="2"/>
    </font>
    <font>
      <sz val="11"/>
      <color indexed="9"/>
      <name val="Calibri"/>
      <family val="2"/>
    </font>
    <font>
      <sz val="12"/>
      <color indexed="9"/>
      <name val="Arial"/>
      <family val="2"/>
    </font>
    <font>
      <b/>
      <sz val="16"/>
      <color indexed="9"/>
      <name val="Arial"/>
      <family val="2"/>
    </font>
    <font>
      <b/>
      <u/>
      <sz val="12"/>
      <color indexed="10"/>
      <name val="Arial"/>
      <family val="2"/>
    </font>
    <font>
      <b/>
      <sz val="10"/>
      <color indexed="32"/>
      <name val="Arial"/>
      <family val="2"/>
    </font>
    <font>
      <sz val="10"/>
      <color indexed="12"/>
      <name val="Times New Roman"/>
      <family val="1"/>
    </font>
    <font>
      <sz val="8"/>
      <name val="Arial"/>
      <family val="2"/>
    </font>
    <font>
      <b/>
      <sz val="12"/>
      <color indexed="8"/>
      <name val="Arial"/>
      <family val="2"/>
    </font>
    <font>
      <sz val="10"/>
      <name val="FuturaA Bk BT"/>
    </font>
    <font>
      <sz val="11"/>
      <color indexed="20"/>
      <name val="Calibri"/>
      <family val="2"/>
    </font>
    <font>
      <sz val="12"/>
      <color indexed="20"/>
      <name val="Arial"/>
      <family val="2"/>
    </font>
    <font>
      <sz val="10"/>
      <color indexed="12"/>
      <name val="Arial"/>
      <family val="2"/>
    </font>
    <font>
      <sz val="8"/>
      <color indexed="12"/>
      <name val="Arial"/>
      <family val="2"/>
    </font>
    <font>
      <b/>
      <sz val="10"/>
      <name val="MS Sans Serif"/>
      <family val="2"/>
    </font>
    <font>
      <b/>
      <i/>
      <sz val="12"/>
      <name val="Times New Roman"/>
      <family val="1"/>
    </font>
    <font>
      <sz val="12"/>
      <color indexed="17"/>
      <name val="Arial"/>
      <family val="2"/>
    </font>
    <font>
      <sz val="8"/>
      <name val="Times"/>
      <family val="1"/>
    </font>
    <font>
      <b/>
      <sz val="11"/>
      <color indexed="52"/>
      <name val="Calibri"/>
      <family val="2"/>
    </font>
    <font>
      <b/>
      <sz val="12"/>
      <color indexed="10"/>
      <name val="Arial"/>
      <family val="2"/>
    </font>
    <font>
      <b/>
      <sz val="12"/>
      <color indexed="52"/>
      <name val="Arial"/>
      <family val="2"/>
    </font>
    <font>
      <sz val="9"/>
      <color indexed="10"/>
      <name val="Geneva"/>
    </font>
    <font>
      <sz val="10"/>
      <name val="Arial CE"/>
      <charset val="238"/>
    </font>
    <font>
      <b/>
      <sz val="12"/>
      <color indexed="9"/>
      <name val="Arial"/>
      <family val="2"/>
    </font>
    <font>
      <sz val="12"/>
      <color indexed="52"/>
      <name val="Arial"/>
      <family val="2"/>
    </font>
    <font>
      <b/>
      <sz val="11"/>
      <color indexed="9"/>
      <name val="Calibri"/>
      <family val="2"/>
    </font>
    <font>
      <sz val="10"/>
      <color indexed="8"/>
      <name val="Verdana"/>
      <family val="2"/>
    </font>
    <font>
      <b/>
      <u/>
      <sz val="8"/>
      <name val="Times New Roman"/>
      <family val="1"/>
    </font>
    <font>
      <b/>
      <sz val="14"/>
      <name val="Arial"/>
      <family val="2"/>
    </font>
    <font>
      <b/>
      <sz val="8"/>
      <name val="Arial"/>
      <family val="2"/>
    </font>
    <font>
      <i/>
      <sz val="10"/>
      <color indexed="17"/>
      <name val="Times New Roman"/>
      <family val="1"/>
    </font>
    <font>
      <sz val="10"/>
      <name val="Courier New CE"/>
    </font>
    <font>
      <b/>
      <sz val="11"/>
      <color indexed="56"/>
      <name val="Arial"/>
      <family val="2"/>
    </font>
    <font>
      <b/>
      <sz val="18"/>
      <color indexed="24"/>
      <name val="Arial"/>
      <family val="2"/>
    </font>
    <font>
      <b/>
      <sz val="12"/>
      <color indexed="24"/>
      <name val="Arial"/>
      <family val="2"/>
    </font>
    <font>
      <sz val="12"/>
      <color indexed="62"/>
      <name val="Arial"/>
      <family val="2"/>
    </font>
    <font>
      <i/>
      <sz val="11"/>
      <color indexed="23"/>
      <name val="Calibri"/>
      <family val="2"/>
    </font>
    <font>
      <i/>
      <sz val="12"/>
      <color indexed="23"/>
      <name val="Arial"/>
      <family val="2"/>
    </font>
    <font>
      <sz val="10"/>
      <name val="Arial CE"/>
      <family val="2"/>
      <charset val="238"/>
    </font>
    <font>
      <i/>
      <sz val="1"/>
      <color indexed="8"/>
      <name val="Courier"/>
      <family val="3"/>
    </font>
    <font>
      <sz val="1"/>
      <color indexed="8"/>
      <name val="Courier"/>
      <family val="3"/>
    </font>
    <font>
      <sz val="10"/>
      <color indexed="24"/>
      <name val="Arial"/>
      <family val="2"/>
    </font>
    <font>
      <u/>
      <sz val="10"/>
      <color indexed="36"/>
      <name val="Courier"/>
      <family val="3"/>
    </font>
    <font>
      <sz val="11"/>
      <color indexed="17"/>
      <name val="Calibri"/>
      <family val="2"/>
    </font>
    <font>
      <b/>
      <sz val="12"/>
      <name val="Arial"/>
      <family val="2"/>
    </font>
    <font>
      <b/>
      <u/>
      <sz val="10"/>
      <name val="Arial"/>
      <family val="2"/>
    </font>
    <font>
      <u/>
      <sz val="10"/>
      <name val="Arial"/>
      <family val="2"/>
    </font>
    <font>
      <b/>
      <sz val="9"/>
      <name val="Arial"/>
      <family val="2"/>
    </font>
    <font>
      <b/>
      <sz val="15"/>
      <color indexed="56"/>
      <name val="Calibri"/>
      <family val="2"/>
    </font>
    <font>
      <b/>
      <sz val="15"/>
      <color indexed="62"/>
      <name val="Arial"/>
      <family val="2"/>
    </font>
    <font>
      <b/>
      <sz val="13"/>
      <color indexed="56"/>
      <name val="Calibri"/>
      <family val="2"/>
    </font>
    <font>
      <b/>
      <sz val="13"/>
      <color indexed="62"/>
      <name val="Arial"/>
      <family val="2"/>
    </font>
    <font>
      <b/>
      <sz val="11"/>
      <color indexed="56"/>
      <name val="Calibri"/>
      <family val="2"/>
    </font>
    <font>
      <b/>
      <sz val="11"/>
      <color indexed="62"/>
      <name val="Arial"/>
      <family val="2"/>
    </font>
    <font>
      <b/>
      <sz val="11"/>
      <name val="Arial"/>
      <family val="2"/>
    </font>
    <font>
      <sz val="8"/>
      <color indexed="39"/>
      <name val="Arial"/>
      <family val="2"/>
    </font>
    <font>
      <sz val="11"/>
      <name val="Arial"/>
      <family val="2"/>
    </font>
    <font>
      <u/>
      <sz val="10"/>
      <color indexed="12"/>
      <name val="Courier"/>
      <family val="3"/>
    </font>
    <font>
      <sz val="11"/>
      <color indexed="62"/>
      <name val="Calibri"/>
      <family val="2"/>
    </font>
    <font>
      <b/>
      <sz val="9"/>
      <name val="Geneva"/>
    </font>
    <font>
      <b/>
      <sz val="10"/>
      <name val="Arial"/>
      <family val="2"/>
    </font>
    <font>
      <u/>
      <sz val="10"/>
      <color indexed="18"/>
      <name val="Arial"/>
      <family val="2"/>
    </font>
    <font>
      <u/>
      <sz val="10"/>
      <color indexed="28"/>
      <name val="Arial"/>
      <family val="2"/>
    </font>
    <font>
      <sz val="11"/>
      <color indexed="52"/>
      <name val="Calibri"/>
      <family val="2"/>
    </font>
    <font>
      <sz val="12"/>
      <color indexed="10"/>
      <name val="Arial"/>
      <family val="2"/>
    </font>
    <font>
      <sz val="10"/>
      <name val="MS Sans Serif"/>
      <family val="2"/>
    </font>
    <font>
      <sz val="10"/>
      <name val="Geneva"/>
    </font>
    <font>
      <sz val="10"/>
      <name val="Verdana"/>
      <family val="2"/>
    </font>
    <font>
      <sz val="10"/>
      <name val="Times New Roman"/>
      <family val="1"/>
    </font>
    <font>
      <sz val="12"/>
      <color indexed="12"/>
      <name val="Times New Roman"/>
      <family val="1"/>
    </font>
    <font>
      <b/>
      <sz val="12"/>
      <color indexed="8"/>
      <name val="Times New Roman"/>
      <family val="1"/>
    </font>
    <font>
      <sz val="10"/>
      <name val="Trebuchet MS"/>
      <family val="2"/>
    </font>
    <font>
      <sz val="10"/>
      <name val="Courier"/>
      <family val="3"/>
    </font>
    <font>
      <sz val="12"/>
      <color indexed="60"/>
      <name val="Arial"/>
      <family val="2"/>
    </font>
    <font>
      <b/>
      <i/>
      <sz val="16"/>
      <name val="Helv"/>
    </font>
    <font>
      <sz val="10"/>
      <color theme="1"/>
      <name val="Arial"/>
      <family val="2"/>
    </font>
    <font>
      <sz val="9"/>
      <name val="Times New Roman"/>
      <family val="1"/>
    </font>
    <font>
      <sz val="12"/>
      <name val="Arial"/>
      <family val="2"/>
    </font>
    <font>
      <sz val="8"/>
      <name val="Arial CE"/>
    </font>
    <font>
      <b/>
      <sz val="11"/>
      <color indexed="63"/>
      <name val="Calibri"/>
      <family val="2"/>
    </font>
    <font>
      <b/>
      <sz val="12"/>
      <color indexed="63"/>
      <name val="Arial"/>
      <family val="2"/>
    </font>
    <font>
      <b/>
      <i/>
      <sz val="22"/>
      <color indexed="8"/>
      <name val="Times New Roman"/>
      <family val="1"/>
    </font>
    <font>
      <i/>
      <sz val="10"/>
      <color indexed="23"/>
      <name val="Arial"/>
      <family val="2"/>
    </font>
    <font>
      <sz val="10"/>
      <color indexed="23"/>
      <name val="Arial"/>
      <family val="2"/>
    </font>
    <font>
      <i/>
      <sz val="8"/>
      <name val="Arial"/>
      <family val="2"/>
    </font>
    <font>
      <sz val="10"/>
      <color indexed="12"/>
      <name val="Trebuchet MS"/>
      <family val="2"/>
    </font>
    <font>
      <sz val="8"/>
      <color indexed="60"/>
      <name val="Arial"/>
      <family val="2"/>
    </font>
    <font>
      <sz val="8.3000000000000007"/>
      <color indexed="8"/>
      <name val="Times New Roman"/>
      <family val="1"/>
    </font>
    <font>
      <sz val="11"/>
      <color indexed="8"/>
      <name val="Arial"/>
      <family val="2"/>
    </font>
    <font>
      <sz val="10"/>
      <color indexed="9"/>
      <name val="Arial"/>
      <family val="2"/>
    </font>
    <font>
      <i/>
      <sz val="10"/>
      <color indexed="10"/>
      <name val="Futura Bk BT"/>
      <family val="2"/>
    </font>
    <font>
      <sz val="10"/>
      <name val="Futura Bk BT"/>
    </font>
    <font>
      <sz val="7"/>
      <color indexed="12"/>
      <name val="Arial"/>
      <family val="2"/>
    </font>
    <font>
      <sz val="8"/>
      <color indexed="10"/>
      <name val="Arial"/>
      <family val="2"/>
    </font>
    <font>
      <b/>
      <sz val="8"/>
      <color indexed="8"/>
      <name val="Arial"/>
      <family val="2"/>
    </font>
    <font>
      <b/>
      <i/>
      <sz val="12"/>
      <color indexed="8"/>
      <name val="Arial"/>
      <family val="2"/>
    </font>
    <font>
      <sz val="8"/>
      <color indexed="8"/>
      <name val="Arial"/>
      <family val="2"/>
    </font>
    <font>
      <i/>
      <sz val="12"/>
      <color indexed="8"/>
      <name val="Arial"/>
      <family val="2"/>
    </font>
    <font>
      <b/>
      <sz val="16"/>
      <color indexed="8"/>
      <name val="Arial"/>
      <family val="2"/>
    </font>
    <font>
      <sz val="10"/>
      <color indexed="30"/>
      <name val="Arial"/>
      <family val="2"/>
    </font>
    <font>
      <sz val="6"/>
      <name val="Arial"/>
      <family val="2"/>
    </font>
    <font>
      <b/>
      <sz val="18"/>
      <color indexed="56"/>
      <name val="Cambria"/>
      <family val="2"/>
    </font>
    <font>
      <b/>
      <sz val="18"/>
      <color indexed="62"/>
      <name val="Cambria"/>
      <family val="2"/>
    </font>
    <font>
      <b/>
      <u/>
      <sz val="12"/>
      <name val="Arial"/>
      <family val="2"/>
    </font>
    <font>
      <b/>
      <sz val="15"/>
      <color indexed="56"/>
      <name val="Arial"/>
      <family val="2"/>
    </font>
    <font>
      <b/>
      <sz val="13"/>
      <color indexed="56"/>
      <name val="Arial"/>
      <family val="2"/>
    </font>
    <font>
      <b/>
      <i/>
      <sz val="10"/>
      <name val="Arial"/>
      <family val="2"/>
    </font>
    <font>
      <sz val="10"/>
      <color indexed="32"/>
      <name val="Arial"/>
      <family val="2"/>
    </font>
    <font>
      <i/>
      <sz val="10"/>
      <name val="Times New Roman"/>
      <family val="1"/>
    </font>
    <font>
      <b/>
      <sz val="7"/>
      <color indexed="12"/>
      <name val="Arial"/>
      <family val="2"/>
    </font>
    <font>
      <sz val="12"/>
      <color indexed="14"/>
      <name val="Times New Roman"/>
      <family val="1"/>
    </font>
    <font>
      <sz val="11"/>
      <color indexed="10"/>
      <name val="Calibri"/>
      <family val="2"/>
    </font>
    <font>
      <sz val="8"/>
      <color indexed="9"/>
      <name val="Arial"/>
      <family val="2"/>
    </font>
    <font>
      <b/>
      <i/>
      <sz val="12"/>
      <color indexed="23"/>
      <name val="Arial"/>
      <family val="2"/>
    </font>
    <font>
      <sz val="10"/>
      <color rgb="FFFF0000"/>
      <name val="Arial"/>
      <family val="2"/>
    </font>
    <font>
      <i/>
      <sz val="11"/>
      <color rgb="FFFF0000"/>
      <name val="Calibri"/>
      <family val="2"/>
      <scheme val="minor"/>
    </font>
    <font>
      <sz val="10"/>
      <name val="Arial"/>
      <family val="2"/>
    </font>
    <font>
      <b/>
      <sz val="10"/>
      <color theme="1"/>
      <name val="Arial"/>
      <family val="2"/>
    </font>
    <font>
      <sz val="9"/>
      <color indexed="81"/>
      <name val="Tahoma"/>
      <family val="2"/>
    </font>
    <font>
      <b/>
      <sz val="9"/>
      <color indexed="81"/>
      <name val="Tahoma"/>
      <family val="2"/>
    </font>
    <font>
      <b/>
      <sz val="12"/>
      <color indexed="16"/>
      <name val="Times New Roman"/>
      <family val="1"/>
    </font>
    <font>
      <sz val="7"/>
      <name val="Small Fonts"/>
      <family val="2"/>
    </font>
    <font>
      <b/>
      <sz val="10"/>
      <color theme="3" tint="0.39997558519241921"/>
      <name val="Arial"/>
      <family val="2"/>
    </font>
    <font>
      <i/>
      <sz val="10"/>
      <color theme="3" tint="0.39997558519241921"/>
      <name val="Arial"/>
      <family val="2"/>
    </font>
    <font>
      <sz val="10"/>
      <color theme="3" tint="0.39997558519241921"/>
      <name val="Arial"/>
      <family val="2"/>
    </font>
    <font>
      <i/>
      <sz val="10"/>
      <name val="Arial"/>
      <family val="2"/>
    </font>
    <font>
      <sz val="11"/>
      <name val="Calibri"/>
      <family val="2"/>
    </font>
    <font>
      <b/>
      <sz val="11"/>
      <color theme="1"/>
      <name val="Calibri"/>
      <family val="2"/>
    </font>
    <font>
      <sz val="11"/>
      <color theme="1"/>
      <name val="Calibri"/>
      <family val="2"/>
    </font>
    <font>
      <b/>
      <sz val="10"/>
      <color rgb="FFFF0000"/>
      <name val="Arial"/>
      <family val="2"/>
    </font>
    <font>
      <i/>
      <sz val="10"/>
      <color rgb="FFFF0000"/>
      <name val="Arial"/>
      <family val="2"/>
    </font>
    <font>
      <b/>
      <sz val="11"/>
      <color indexed="9"/>
      <name val="Arial"/>
      <family val="2"/>
    </font>
    <font>
      <b/>
      <sz val="14"/>
      <color indexed="8"/>
      <name val="Calibri"/>
      <family val="2"/>
    </font>
    <font>
      <b/>
      <sz val="11"/>
      <color indexed="8"/>
      <name val="Calibri"/>
      <family val="2"/>
    </font>
    <font>
      <sz val="22"/>
      <color indexed="8"/>
      <name val="Calibri"/>
      <family val="2"/>
    </font>
    <font>
      <b/>
      <sz val="11"/>
      <color indexed="10"/>
      <name val="Calibri"/>
      <family val="2"/>
    </font>
    <font>
      <b/>
      <sz val="12"/>
      <name val="Calibri"/>
      <family val="2"/>
    </font>
    <font>
      <sz val="11"/>
      <color rgb="FFFF0000"/>
      <name val="Calibri"/>
      <family val="2"/>
    </font>
    <font>
      <b/>
      <sz val="11"/>
      <color indexed="12"/>
      <name val="Calibri"/>
      <family val="2"/>
    </font>
    <font>
      <b/>
      <u/>
      <sz val="11"/>
      <color indexed="8"/>
      <name val="Calibri"/>
      <family val="2"/>
    </font>
    <font>
      <sz val="11"/>
      <color indexed="12"/>
      <name val="Calibri"/>
      <family val="2"/>
    </font>
    <font>
      <b/>
      <u/>
      <sz val="11"/>
      <color indexed="10"/>
      <name val="Calibri"/>
      <family val="2"/>
    </font>
    <font>
      <sz val="8"/>
      <name val="ＭＳ Ｐゴシック"/>
      <family val="3"/>
      <charset val="128"/>
    </font>
    <font>
      <sz val="11"/>
      <name val="Calibri"/>
      <family val="2"/>
      <scheme val="minor"/>
    </font>
    <font>
      <sz val="8"/>
      <color theme="1"/>
      <name val="Calibri"/>
      <family val="2"/>
      <scheme val="minor"/>
    </font>
    <font>
      <sz val="8"/>
      <color rgb="FFFF0000"/>
      <name val="Arial"/>
      <family val="2"/>
    </font>
    <font>
      <sz val="8"/>
      <color indexed="8"/>
      <name val="Calibri"/>
      <family val="2"/>
    </font>
    <font>
      <b/>
      <sz val="10"/>
      <color theme="0"/>
      <name val="Arial"/>
      <family val="2"/>
    </font>
    <font>
      <sz val="10"/>
      <name val="Franklin Gothic Book"/>
      <family val="2"/>
    </font>
    <font>
      <sz val="10"/>
      <color rgb="FF000000"/>
      <name val="Franklin Gothic Book"/>
      <family val="2"/>
    </font>
    <font>
      <sz val="10"/>
      <color theme="1"/>
      <name val="Franklin Gothic Book"/>
      <family val="2"/>
    </font>
    <font>
      <sz val="10"/>
      <name val="Arial"/>
      <family val="2"/>
    </font>
    <font>
      <b/>
      <sz val="18"/>
      <color rgb="FF0C2D66"/>
      <name val="Franklin Gothic Book"/>
      <family val="2"/>
    </font>
    <font>
      <sz val="14"/>
      <color rgb="FF0C2D66"/>
      <name val="Franklin Gothic Book"/>
      <family val="2"/>
    </font>
    <font>
      <sz val="9"/>
      <color rgb="FF000000"/>
      <name val="Arial"/>
      <family val="2"/>
    </font>
    <font>
      <b/>
      <sz val="9"/>
      <color rgb="FF1F4E78"/>
      <name val="Arial"/>
      <family val="2"/>
    </font>
    <font>
      <sz val="9"/>
      <color theme="1"/>
      <name val="Arial"/>
      <family val="2"/>
    </font>
    <font>
      <sz val="9"/>
      <color theme="1"/>
      <name val="Calibri"/>
      <family val="2"/>
      <scheme val="minor"/>
    </font>
    <font>
      <b/>
      <sz val="9"/>
      <color rgb="FF002060"/>
      <name val="Arial"/>
      <family val="2"/>
    </font>
    <font>
      <b/>
      <sz val="8.5"/>
      <color rgb="FF0C2D66"/>
      <name val="Arial"/>
      <family val="2"/>
    </font>
    <font>
      <sz val="9"/>
      <color rgb="FF0C2D66"/>
      <name val="Arial"/>
      <family val="2"/>
    </font>
    <font>
      <b/>
      <sz val="9"/>
      <color rgb="FF0C2D66"/>
      <name val="Arial"/>
      <family val="2"/>
    </font>
    <font>
      <b/>
      <sz val="9"/>
      <color rgb="FF203764"/>
      <name val="Arial"/>
      <family val="2"/>
    </font>
    <font>
      <b/>
      <sz val="8.5"/>
      <color rgb="FF203764"/>
      <name val="Arial"/>
      <family val="2"/>
    </font>
    <font>
      <b/>
      <sz val="18"/>
      <color rgb="FF0C2D66"/>
      <name val="Arial"/>
      <family val="2"/>
    </font>
    <font>
      <b/>
      <sz val="11"/>
      <color rgb="FF0C2D66"/>
      <name val="Franklin Gothic Book"/>
      <family val="2"/>
    </font>
    <font>
      <b/>
      <sz val="9"/>
      <color rgb="FF0C2577"/>
      <name val="Arial"/>
      <family val="2"/>
    </font>
    <font>
      <sz val="8"/>
      <color theme="1"/>
      <name val="Arial"/>
      <family val="2"/>
    </font>
    <font>
      <sz val="9"/>
      <name val="Arial"/>
      <family val="2"/>
    </font>
    <font>
      <sz val="8"/>
      <name val="Arial"/>
    </font>
    <font>
      <sz val="14"/>
      <color rgb="FF0C2D66"/>
      <name val="Arial"/>
      <family val="2"/>
    </font>
    <font>
      <b/>
      <sz val="14"/>
      <color rgb="FF0C2D66"/>
      <name val="Arial"/>
      <family val="2"/>
    </font>
    <font>
      <b/>
      <sz val="9"/>
      <color rgb="FF000000"/>
      <name val="Arial Narrow"/>
      <family val="2"/>
    </font>
  </fonts>
  <fills count="9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D6A"/>
        <bgColor indexed="64"/>
      </patternFill>
    </fill>
    <fill>
      <patternFill patternType="solid">
        <fgColor indexed="9"/>
        <bgColor indexed="64"/>
      </patternFill>
    </fill>
    <fill>
      <patternFill patternType="solid">
        <fgColor indexed="22"/>
        <bgColor indexed="19"/>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bgColor indexed="6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16"/>
        <bgColor indexed="64"/>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8"/>
      </patternFill>
    </fill>
    <fill>
      <patternFill patternType="solid">
        <fgColor indexed="13"/>
        <bgColor indexed="64"/>
      </patternFill>
    </fill>
    <fill>
      <patternFill patternType="solid">
        <fgColor indexed="43"/>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26"/>
        <bgColor indexed="34"/>
      </patternFill>
    </fill>
    <fill>
      <patternFill patternType="gray0625">
        <fgColor indexed="11"/>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9"/>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40"/>
      </patternFill>
    </fill>
    <fill>
      <patternFill patternType="solid">
        <fgColor indexed="9"/>
        <bgColor indexed="19"/>
      </patternFill>
    </fill>
    <fill>
      <patternFill patternType="solid">
        <fgColor indexed="15"/>
        <bgColor indexed="64"/>
      </patternFill>
    </fill>
    <fill>
      <patternFill patternType="solid">
        <fgColor indexed="9"/>
        <bgColor indexed="43"/>
      </patternFill>
    </fill>
    <fill>
      <patternFill patternType="solid">
        <fgColor theme="0"/>
        <bgColor indexed="64"/>
      </patternFill>
    </fill>
    <fill>
      <patternFill patternType="solid">
        <fgColor rgb="FF80808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0.34998626667073579"/>
        <bgColor indexed="64"/>
      </patternFill>
    </fill>
    <fill>
      <patternFill patternType="solid">
        <fgColor rgb="FFFF9900"/>
        <bgColor rgb="FF000000"/>
      </patternFill>
    </fill>
    <fill>
      <patternFill patternType="solid">
        <fgColor rgb="FFF2F2F2"/>
        <bgColor indexed="64"/>
      </patternFill>
    </fill>
    <fill>
      <patternFill patternType="solid">
        <fgColor theme="4" tint="0.79998168889431442"/>
        <bgColor indexed="64"/>
      </patternFill>
    </fill>
    <fill>
      <patternFill patternType="solid">
        <fgColor rgb="FF002060"/>
        <bgColor rgb="FF000000"/>
      </patternFill>
    </fill>
    <fill>
      <patternFill patternType="solid">
        <fgColor rgb="FF121C4D"/>
        <bgColor rgb="FF000000"/>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n">
        <color indexed="22"/>
      </left>
      <right/>
      <top style="thin">
        <color indexed="22"/>
      </top>
      <bottom style="thin">
        <color indexed="22"/>
      </bottom>
      <diagonal/>
    </border>
    <border>
      <left/>
      <right/>
      <top style="thin">
        <color indexed="64"/>
      </top>
      <bottom style="medium">
        <color indexed="64"/>
      </bottom>
      <diagonal/>
    </border>
    <border>
      <left style="thin">
        <color indexed="8"/>
      </left>
      <right style="thin">
        <color indexed="8"/>
      </right>
      <top/>
      <bottom/>
      <diagonal/>
    </border>
    <border>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3"/>
      </top>
      <bottom style="hair">
        <color indexed="63"/>
      </bottom>
      <diagonal/>
    </border>
    <border>
      <left style="thick">
        <color indexed="9"/>
      </left>
      <right/>
      <top style="hair">
        <color indexed="63"/>
      </top>
      <bottom style="hair">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top/>
      <bottom style="double">
        <color indexed="10"/>
      </bottom>
      <diagonal/>
    </border>
    <border>
      <left style="thin">
        <color indexed="8"/>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double">
        <color indexed="10"/>
      </left>
      <right style="double">
        <color indexed="10"/>
      </right>
      <top style="double">
        <color indexed="10"/>
      </top>
      <bottom style="double">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ck">
        <color indexed="9"/>
      </left>
      <right/>
      <top style="thin">
        <color indexed="63"/>
      </top>
      <bottom style="hair">
        <color indexed="63"/>
      </bottom>
      <diagonal/>
    </border>
    <border>
      <left/>
      <right/>
      <top/>
      <bottom style="medium">
        <color indexed="24"/>
      </bottom>
      <diagonal/>
    </border>
    <border>
      <left style="thick">
        <color indexed="9"/>
      </left>
      <right style="thick">
        <color indexed="9"/>
      </right>
      <top style="thin">
        <color indexed="48"/>
      </top>
      <bottom style="thin">
        <color indexed="48"/>
      </bottom>
      <diagonal/>
    </border>
    <border>
      <left style="thin">
        <color indexed="10"/>
      </left>
      <right style="thin">
        <color indexed="10"/>
      </right>
      <top style="thin">
        <color indexed="10"/>
      </top>
      <bottom style="thin">
        <color indexed="10"/>
      </bottom>
      <diagonal/>
    </border>
    <border>
      <left/>
      <right/>
      <top style="thin">
        <color indexed="62"/>
      </top>
      <bottom style="double">
        <color indexed="62"/>
      </bottom>
      <diagonal/>
    </border>
    <border>
      <left style="thick">
        <color indexed="22"/>
      </left>
      <right style="thick">
        <color indexed="22"/>
      </right>
      <top style="thick">
        <color indexed="22"/>
      </top>
      <bottom style="thick">
        <color indexed="22"/>
      </bottom>
      <diagonal/>
    </border>
    <border>
      <left/>
      <right/>
      <top style="thin">
        <color indexed="64"/>
      </top>
      <bottom style="double">
        <color indexed="64"/>
      </bottom>
      <diagonal/>
    </border>
    <border>
      <left style="thick">
        <color indexed="22"/>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bottom style="medium">
        <color indexed="64"/>
      </bottom>
      <diagonal/>
    </border>
    <border>
      <left/>
      <right/>
      <top/>
      <bottom style="dotted">
        <color indexed="64"/>
      </bottom>
      <diagonal/>
    </border>
    <border>
      <left/>
      <right/>
      <top/>
      <bottom style="medium">
        <color rgb="FF002060"/>
      </bottom>
      <diagonal/>
    </border>
    <border>
      <left/>
      <right/>
      <top/>
      <bottom style="thick">
        <color rgb="FF000000"/>
      </bottom>
      <diagonal/>
    </border>
    <border>
      <left/>
      <right/>
      <top style="dotted">
        <color rgb="FF002060"/>
      </top>
      <bottom style="thick">
        <color rgb="FF000000"/>
      </bottom>
      <diagonal/>
    </border>
    <border>
      <left/>
      <right/>
      <top style="thick">
        <color rgb="FF000000"/>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bottom style="thick">
        <color indexed="64"/>
      </bottom>
      <diagonal/>
    </border>
    <border>
      <left/>
      <right/>
      <top/>
      <bottom style="medium">
        <color rgb="FF000000"/>
      </bottom>
      <diagonal/>
    </border>
    <border>
      <left/>
      <right/>
      <top/>
      <bottom style="dotted">
        <color rgb="FF000000"/>
      </bottom>
      <diagonal/>
    </border>
    <border>
      <left style="hair">
        <color indexed="64"/>
      </left>
      <right style="hair">
        <color indexed="64"/>
      </right>
      <top style="hair">
        <color indexed="64"/>
      </top>
      <bottom/>
      <diagonal/>
    </border>
    <border>
      <left style="thick">
        <color rgb="FFC0C0C0"/>
      </left>
      <right style="thick">
        <color rgb="FFC0C0C0"/>
      </right>
      <top style="thick">
        <color rgb="FFC0C0C0"/>
      </top>
      <bottom style="thick">
        <color rgb="FFC0C0C0"/>
      </bottom>
      <diagonal/>
    </border>
    <border>
      <left/>
      <right/>
      <top style="medium">
        <color rgb="FFFFFFFF"/>
      </top>
      <bottom style="medium">
        <color indexed="64"/>
      </bottom>
      <diagonal/>
    </border>
  </borders>
  <cellStyleXfs count="10946">
    <xf numFmtId="0" fontId="0" fillId="0" borderId="0"/>
    <xf numFmtId="9" fontId="111" fillId="0" borderId="0" applyFont="0" applyFill="0" applyBorder="0" applyAlignment="0" applyProtection="0"/>
    <xf numFmtId="0" fontId="108" fillId="0" borderId="0"/>
    <xf numFmtId="0" fontId="111" fillId="0" borderId="0"/>
    <xf numFmtId="0" fontId="111" fillId="0" borderId="0"/>
    <xf numFmtId="0" fontId="111" fillId="0" borderId="0" applyNumberFormat="0" applyFont="0" applyFill="0" applyBorder="0" applyAlignment="0" applyProtection="0"/>
    <xf numFmtId="3" fontId="116" fillId="35" borderId="0">
      <alignment horizontal="left"/>
    </xf>
    <xf numFmtId="0" fontId="108" fillId="36" borderId="0" applyNumberFormat="0" applyBorder="0" applyAlignment="0" applyProtection="0"/>
    <xf numFmtId="0" fontId="116" fillId="37" borderId="0" applyNumberFormat="0" applyBorder="0" applyAlignment="0" applyProtection="0"/>
    <xf numFmtId="0" fontId="108" fillId="36" borderId="0" applyNumberFormat="0" applyBorder="0" applyAlignment="0" applyProtection="0"/>
    <xf numFmtId="0" fontId="108" fillId="36" borderId="0" applyNumberFormat="0" applyBorder="0" applyAlignment="0" applyProtection="0"/>
    <xf numFmtId="0" fontId="108" fillId="38" borderId="0" applyNumberFormat="0" applyBorder="0" applyAlignment="0" applyProtection="0"/>
    <xf numFmtId="0" fontId="116" fillId="39" borderId="0" applyNumberFormat="0" applyBorder="0" applyAlignment="0" applyProtection="0"/>
    <xf numFmtId="0" fontId="108" fillId="38" borderId="0" applyNumberFormat="0" applyBorder="0" applyAlignment="0" applyProtection="0"/>
    <xf numFmtId="0" fontId="108" fillId="38" borderId="0" applyNumberFormat="0" applyBorder="0" applyAlignment="0" applyProtection="0"/>
    <xf numFmtId="0" fontId="108" fillId="40" borderId="0" applyNumberFormat="0" applyBorder="0" applyAlignment="0" applyProtection="0"/>
    <xf numFmtId="0" fontId="116" fillId="41" borderId="0" applyNumberFormat="0" applyBorder="0" applyAlignment="0" applyProtection="0"/>
    <xf numFmtId="0" fontId="108" fillId="40" borderId="0" applyNumberFormat="0" applyBorder="0" applyAlignment="0" applyProtection="0"/>
    <xf numFmtId="0" fontId="108" fillId="40" borderId="0" applyNumberFormat="0" applyBorder="0" applyAlignment="0" applyProtection="0"/>
    <xf numFmtId="0" fontId="108" fillId="42" borderId="0" applyNumberFormat="0" applyBorder="0" applyAlignment="0" applyProtection="0"/>
    <xf numFmtId="0" fontId="116" fillId="43" borderId="0" applyNumberFormat="0" applyBorder="0" applyAlignment="0" applyProtection="0"/>
    <xf numFmtId="0" fontId="108" fillId="42" borderId="0" applyNumberFormat="0" applyBorder="0" applyAlignment="0" applyProtection="0"/>
    <xf numFmtId="0" fontId="108" fillId="42" borderId="0" applyNumberFormat="0" applyBorder="0" applyAlignment="0" applyProtection="0"/>
    <xf numFmtId="0" fontId="108" fillId="44" borderId="0" applyNumberFormat="0" applyBorder="0" applyAlignment="0" applyProtection="0"/>
    <xf numFmtId="0" fontId="116" fillId="44" borderId="0" applyNumberFormat="0" applyBorder="0" applyAlignment="0" applyProtection="0"/>
    <xf numFmtId="0" fontId="108" fillId="44" borderId="0" applyNumberFormat="0" applyBorder="0" applyAlignment="0" applyProtection="0"/>
    <xf numFmtId="0" fontId="108" fillId="44" borderId="0" applyNumberFormat="0" applyBorder="0" applyAlignment="0" applyProtection="0"/>
    <xf numFmtId="0" fontId="108" fillId="43" borderId="0" applyNumberFormat="0" applyBorder="0" applyAlignment="0" applyProtection="0"/>
    <xf numFmtId="0" fontId="116" fillId="41" borderId="0" applyNumberFormat="0" applyBorder="0" applyAlignment="0" applyProtection="0"/>
    <xf numFmtId="0" fontId="108" fillId="43" borderId="0" applyNumberFormat="0" applyBorder="0" applyAlignment="0" applyProtection="0"/>
    <xf numFmtId="0" fontId="108" fillId="43"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116" fillId="44" borderId="0" applyNumberFormat="0" applyBorder="0" applyAlignment="0" applyProtection="0"/>
    <xf numFmtId="0" fontId="116" fillId="44"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116" fillId="43" borderId="0" applyNumberFormat="0" applyBorder="0" applyAlignment="0" applyProtection="0"/>
    <xf numFmtId="0" fontId="116" fillId="43" borderId="0" applyNumberFormat="0" applyBorder="0" applyAlignment="0" applyProtection="0"/>
    <xf numFmtId="3" fontId="109" fillId="45" borderId="0"/>
    <xf numFmtId="0" fontId="108" fillId="37" borderId="0" applyNumberFormat="0" applyBorder="0" applyAlignment="0" applyProtection="0"/>
    <xf numFmtId="0" fontId="116" fillId="44" borderId="0" applyNumberFormat="0" applyBorder="0" applyAlignment="0" applyProtection="0"/>
    <xf numFmtId="0" fontId="108" fillId="37" borderId="0" applyNumberFormat="0" applyBorder="0" applyAlignment="0" applyProtection="0"/>
    <xf numFmtId="0" fontId="108" fillId="37" borderId="0" applyNumberFormat="0" applyBorder="0" applyAlignment="0" applyProtection="0"/>
    <xf numFmtId="0" fontId="108" fillId="39" borderId="0" applyNumberFormat="0" applyBorder="0" applyAlignment="0" applyProtection="0"/>
    <xf numFmtId="0" fontId="116" fillId="39" borderId="0" applyNumberFormat="0" applyBorder="0" applyAlignment="0" applyProtection="0"/>
    <xf numFmtId="0" fontId="108" fillId="39" borderId="0" applyNumberFormat="0" applyBorder="0" applyAlignment="0" applyProtection="0"/>
    <xf numFmtId="0" fontId="108" fillId="39" borderId="0" applyNumberFormat="0" applyBorder="0" applyAlignment="0" applyProtection="0"/>
    <xf numFmtId="0" fontId="108" fillId="46" borderId="0" applyNumberFormat="0" applyBorder="0" applyAlignment="0" applyProtection="0"/>
    <xf numFmtId="0" fontId="116" fillId="47" borderId="0" applyNumberFormat="0" applyBorder="0" applyAlignment="0" applyProtection="0"/>
    <xf numFmtId="0" fontId="108" fillId="46" borderId="0" applyNumberFormat="0" applyBorder="0" applyAlignment="0" applyProtection="0"/>
    <xf numFmtId="0" fontId="108" fillId="46" borderId="0" applyNumberFormat="0" applyBorder="0" applyAlignment="0" applyProtection="0"/>
    <xf numFmtId="0" fontId="108" fillId="42" borderId="0" applyNumberFormat="0" applyBorder="0" applyAlignment="0" applyProtection="0"/>
    <xf numFmtId="0" fontId="116" fillId="38" borderId="0" applyNumberFormat="0" applyBorder="0" applyAlignment="0" applyProtection="0"/>
    <xf numFmtId="0" fontId="108" fillId="42" borderId="0" applyNumberFormat="0" applyBorder="0" applyAlignment="0" applyProtection="0"/>
    <xf numFmtId="0" fontId="108" fillId="42" borderId="0" applyNumberFormat="0" applyBorder="0" applyAlignment="0" applyProtection="0"/>
    <xf numFmtId="0" fontId="108" fillId="37" borderId="0" applyNumberFormat="0" applyBorder="0" applyAlignment="0" applyProtection="0"/>
    <xf numFmtId="0" fontId="116" fillId="44" borderId="0" applyNumberFormat="0" applyBorder="0" applyAlignment="0" applyProtection="0"/>
    <xf numFmtId="0" fontId="108" fillId="37" borderId="0" applyNumberFormat="0" applyBorder="0" applyAlignment="0" applyProtection="0"/>
    <xf numFmtId="0" fontId="108" fillId="37" borderId="0" applyNumberFormat="0" applyBorder="0" applyAlignment="0" applyProtection="0"/>
    <xf numFmtId="0" fontId="108" fillId="48" borderId="0" applyNumberFormat="0" applyBorder="0" applyAlignment="0" applyProtection="0"/>
    <xf numFmtId="0" fontId="116" fillId="41" borderId="0" applyNumberFormat="0" applyBorder="0" applyAlignment="0" applyProtection="0"/>
    <xf numFmtId="0" fontId="108" fillId="48" borderId="0" applyNumberFormat="0" applyBorder="0" applyAlignment="0" applyProtection="0"/>
    <xf numFmtId="0" fontId="108" fillId="48"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116" fillId="48" borderId="0" applyNumberFormat="0" applyBorder="0" applyAlignment="0" applyProtection="0"/>
    <xf numFmtId="0" fontId="116" fillId="48" borderId="0" applyNumberFormat="0" applyBorder="0" applyAlignment="0" applyProtection="0"/>
    <xf numFmtId="0" fontId="117" fillId="49" borderId="0" applyNumberFormat="0" applyBorder="0" applyAlignment="0" applyProtection="0"/>
    <xf numFmtId="0" fontId="118" fillId="44" borderId="0" applyNumberFormat="0" applyBorder="0" applyAlignment="0" applyProtection="0"/>
    <xf numFmtId="0" fontId="117" fillId="49" borderId="0" applyNumberFormat="0" applyBorder="0" applyAlignment="0" applyProtection="0"/>
    <xf numFmtId="0" fontId="117" fillId="39" borderId="0" applyNumberFormat="0" applyBorder="0" applyAlignment="0" applyProtection="0"/>
    <xf numFmtId="0" fontId="118" fillId="50" borderId="0" applyNumberFormat="0" applyBorder="0" applyAlignment="0" applyProtection="0"/>
    <xf numFmtId="0" fontId="117" fillId="39" borderId="0" applyNumberFormat="0" applyBorder="0" applyAlignment="0" applyProtection="0"/>
    <xf numFmtId="0" fontId="117" fillId="46" borderId="0" applyNumberFormat="0" applyBorder="0" applyAlignment="0" applyProtection="0"/>
    <xf numFmtId="0" fontId="118" fillId="48" borderId="0" applyNumberFormat="0" applyBorder="0" applyAlignment="0" applyProtection="0"/>
    <xf numFmtId="0" fontId="117" fillId="46" borderId="0" applyNumberFormat="0" applyBorder="0" applyAlignment="0" applyProtection="0"/>
    <xf numFmtId="0" fontId="117" fillId="51" borderId="0" applyNumberFormat="0" applyBorder="0" applyAlignment="0" applyProtection="0"/>
    <xf numFmtId="0" fontId="118" fillId="38" borderId="0" applyNumberFormat="0" applyBorder="0" applyAlignment="0" applyProtection="0"/>
    <xf numFmtId="0" fontId="117" fillId="51" borderId="0" applyNumberFormat="0" applyBorder="0" applyAlignment="0" applyProtection="0"/>
    <xf numFmtId="0" fontId="117" fillId="52" borderId="0" applyNumberFormat="0" applyBorder="0" applyAlignment="0" applyProtection="0"/>
    <xf numFmtId="0" fontId="118" fillId="44" borderId="0" applyNumberFormat="0" applyBorder="0" applyAlignment="0" applyProtection="0"/>
    <xf numFmtId="0" fontId="117" fillId="52" borderId="0" applyNumberFormat="0" applyBorder="0" applyAlignment="0" applyProtection="0"/>
    <xf numFmtId="0" fontId="117" fillId="53" borderId="0" applyNumberFormat="0" applyBorder="0" applyAlignment="0" applyProtection="0"/>
    <xf numFmtId="0" fontId="118" fillId="39" borderId="0" applyNumberFormat="0" applyBorder="0" applyAlignment="0" applyProtection="0"/>
    <xf numFmtId="0" fontId="117" fillId="53" borderId="0" applyNumberFormat="0" applyBorder="0" applyAlignment="0" applyProtection="0"/>
    <xf numFmtId="0" fontId="107" fillId="12" borderId="0" applyNumberFormat="0" applyBorder="0" applyAlignment="0" applyProtection="0"/>
    <xf numFmtId="0" fontId="118" fillId="49" borderId="0" applyNumberFormat="0" applyBorder="0" applyAlignment="0" applyProtection="0"/>
    <xf numFmtId="0" fontId="118" fillId="49" borderId="0" applyNumberFormat="0" applyBorder="0" applyAlignment="0" applyProtection="0"/>
    <xf numFmtId="0" fontId="107" fillId="16" borderId="0" applyNumberFormat="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107" fillId="20"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07" fillId="24" borderId="0" applyNumberFormat="0" applyBorder="0" applyAlignment="0" applyProtection="0"/>
    <xf numFmtId="0" fontId="118" fillId="51" borderId="0" applyNumberFormat="0" applyBorder="0" applyAlignment="0" applyProtection="0"/>
    <xf numFmtId="0" fontId="118" fillId="51" borderId="0" applyNumberFormat="0" applyBorder="0" applyAlignment="0" applyProtection="0"/>
    <xf numFmtId="0" fontId="107" fillId="28" borderId="0" applyNumberFormat="0" applyBorder="0" applyAlignment="0" applyProtection="0"/>
    <xf numFmtId="0" fontId="118" fillId="52" borderId="0" applyNumberFormat="0" applyBorder="0" applyAlignment="0" applyProtection="0"/>
    <xf numFmtId="0" fontId="118" fillId="52" borderId="0" applyNumberFormat="0" applyBorder="0" applyAlignment="0" applyProtection="0"/>
    <xf numFmtId="0" fontId="107" fillId="32" borderId="0" applyNumberFormat="0" applyBorder="0" applyAlignment="0" applyProtection="0"/>
    <xf numFmtId="0" fontId="118" fillId="53" borderId="0" applyNumberFormat="0" applyBorder="0" applyAlignment="0" applyProtection="0"/>
    <xf numFmtId="0" fontId="118" fillId="53" borderId="0" applyNumberFormat="0" applyBorder="0" applyAlignment="0" applyProtection="0"/>
    <xf numFmtId="0" fontId="119" fillId="54" borderId="14">
      <alignment horizontal="center"/>
    </xf>
    <xf numFmtId="0" fontId="110" fillId="45" borderId="0"/>
    <xf numFmtId="0" fontId="110" fillId="45" borderId="0"/>
    <xf numFmtId="0" fontId="110" fillId="45" borderId="0"/>
    <xf numFmtId="0" fontId="120" fillId="45" borderId="0">
      <alignment horizontal="center"/>
    </xf>
    <xf numFmtId="0" fontId="121" fillId="45" borderId="0">
      <alignment horizontal="left"/>
    </xf>
    <xf numFmtId="0" fontId="117" fillId="55" borderId="0" applyNumberFormat="0" applyBorder="0" applyAlignment="0" applyProtection="0"/>
    <xf numFmtId="0" fontId="118" fillId="56" borderId="0" applyNumberFormat="0" applyBorder="0" applyAlignment="0" applyProtection="0"/>
    <xf numFmtId="0" fontId="117" fillId="55" borderId="0" applyNumberFormat="0" applyBorder="0" applyAlignment="0" applyProtection="0"/>
    <xf numFmtId="0" fontId="117" fillId="57" borderId="0" applyNumberFormat="0" applyBorder="0" applyAlignment="0" applyProtection="0"/>
    <xf numFmtId="0" fontId="118" fillId="50" borderId="0" applyNumberFormat="0" applyBorder="0" applyAlignment="0" applyProtection="0"/>
    <xf numFmtId="0" fontId="117" fillId="57" borderId="0" applyNumberFormat="0" applyBorder="0" applyAlignment="0" applyProtection="0"/>
    <xf numFmtId="0" fontId="117" fillId="58" borderId="0" applyNumberFormat="0" applyBorder="0" applyAlignment="0" applyProtection="0"/>
    <xf numFmtId="0" fontId="118" fillId="48" borderId="0" applyNumberFormat="0" applyBorder="0" applyAlignment="0" applyProtection="0"/>
    <xf numFmtId="0" fontId="117" fillId="58" borderId="0" applyNumberFormat="0" applyBorder="0" applyAlignment="0" applyProtection="0"/>
    <xf numFmtId="0" fontId="117" fillId="51" borderId="0" applyNumberFormat="0" applyBorder="0" applyAlignment="0" applyProtection="0"/>
    <xf numFmtId="0" fontId="118" fillId="59" borderId="0" applyNumberFormat="0" applyBorder="0" applyAlignment="0" applyProtection="0"/>
    <xf numFmtId="0" fontId="117" fillId="51" borderId="0" applyNumberFormat="0" applyBorder="0" applyAlignment="0" applyProtection="0"/>
    <xf numFmtId="0" fontId="117" fillId="52" borderId="0" applyNumberFormat="0" applyBorder="0" applyAlignment="0" applyProtection="0"/>
    <xf numFmtId="0" fontId="118" fillId="52" borderId="0" applyNumberFormat="0" applyBorder="0" applyAlignment="0" applyProtection="0"/>
    <xf numFmtId="0" fontId="117" fillId="52" borderId="0" applyNumberFormat="0" applyBorder="0" applyAlignment="0" applyProtection="0"/>
    <xf numFmtId="0" fontId="117" fillId="50" borderId="0" applyNumberFormat="0" applyBorder="0" applyAlignment="0" applyProtection="0"/>
    <xf numFmtId="0" fontId="118" fillId="57" borderId="0" applyNumberFormat="0" applyBorder="0" applyAlignment="0" applyProtection="0"/>
    <xf numFmtId="0" fontId="117" fillId="50" borderId="0" applyNumberFormat="0" applyBorder="0" applyAlignment="0" applyProtection="0"/>
    <xf numFmtId="37" fontId="111" fillId="34" borderId="15" applyFill="0" applyBorder="0" applyAlignment="0" applyProtection="0"/>
    <xf numFmtId="37" fontId="111" fillId="34" borderId="15" applyFill="0" applyBorder="0" applyAlignment="0" applyProtection="0"/>
    <xf numFmtId="170" fontId="122" fillId="0" borderId="0" applyFont="0" applyFill="0" applyBorder="0" applyAlignment="0" applyProtection="0"/>
    <xf numFmtId="171" fontId="122" fillId="0" borderId="0" applyFont="0" applyFill="0" applyBorder="0" applyAlignment="0" applyProtection="0"/>
    <xf numFmtId="172" fontId="111" fillId="0" borderId="0" applyFont="0" applyFill="0" applyBorder="0" applyAlignment="0" applyProtection="0"/>
    <xf numFmtId="173" fontId="123" fillId="0" borderId="0" applyFill="0" applyBorder="0" applyProtection="0">
      <alignment horizontal="right"/>
    </xf>
    <xf numFmtId="173" fontId="123" fillId="0" borderId="0" applyFill="0" applyBorder="0" applyProtection="0">
      <alignment horizontal="right"/>
    </xf>
    <xf numFmtId="0" fontId="111" fillId="0" borderId="0" applyNumberFormat="0" applyFill="0" applyBorder="0" applyAlignment="0" applyProtection="0"/>
    <xf numFmtId="3" fontId="124" fillId="60" borderId="14" applyNumberFormat="0">
      <alignment horizontal="center"/>
    </xf>
    <xf numFmtId="0" fontId="125" fillId="61" borderId="0"/>
    <xf numFmtId="0" fontId="126" fillId="38" borderId="0" applyNumberFormat="0" applyBorder="0" applyAlignment="0" applyProtection="0"/>
    <xf numFmtId="0" fontId="127" fillId="42" borderId="0" applyNumberFormat="0" applyBorder="0" applyAlignment="0" applyProtection="0"/>
    <xf numFmtId="0" fontId="126" fillId="38" borderId="0" applyNumberFormat="0" applyBorder="0" applyAlignment="0" applyProtection="0"/>
    <xf numFmtId="39" fontId="128" fillId="62" borderId="0" applyNumberFormat="0" applyFill="0" applyBorder="0" applyAlignment="0" applyProtection="0">
      <alignment horizontal="center"/>
    </xf>
    <xf numFmtId="174" fontId="129" fillId="63" borderId="0" applyNumberFormat="0" applyFill="0" applyBorder="0" applyAlignment="0" applyProtection="0">
      <alignment horizontal="center"/>
    </xf>
    <xf numFmtId="175" fontId="130" fillId="0" borderId="16" applyAlignment="0" applyProtection="0"/>
    <xf numFmtId="0" fontId="131" fillId="0" borderId="17" applyFill="0" applyProtection="0">
      <alignment horizontal="right"/>
    </xf>
    <xf numFmtId="0" fontId="96" fillId="2"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39" fontId="133" fillId="0" borderId="0" applyFill="0" applyBorder="0" applyAlignment="0"/>
    <xf numFmtId="0" fontId="134" fillId="64" borderId="18" applyNumberFormat="0" applyAlignment="0" applyProtection="0"/>
    <xf numFmtId="0" fontId="135" fillId="65" borderId="18" applyNumberFormat="0" applyAlignment="0" applyProtection="0"/>
    <xf numFmtId="0" fontId="135" fillId="65" borderId="18" applyNumberFormat="0" applyAlignment="0" applyProtection="0"/>
    <xf numFmtId="0" fontId="134" fillId="64" borderId="18" applyNumberFormat="0" applyAlignment="0" applyProtection="0"/>
    <xf numFmtId="0" fontId="101" fillId="6" borderId="4" applyNumberFormat="0" applyAlignment="0" applyProtection="0"/>
    <xf numFmtId="0" fontId="136" fillId="64" borderId="18" applyNumberFormat="0" applyAlignment="0" applyProtection="0"/>
    <xf numFmtId="0" fontId="136" fillId="64" borderId="18" applyNumberFormat="0" applyAlignment="0" applyProtection="0"/>
    <xf numFmtId="0" fontId="137" fillId="0" borderId="0"/>
    <xf numFmtId="0" fontId="138" fillId="0" borderId="0" applyFont="0" applyFill="0" applyBorder="0" applyAlignment="0" applyProtection="0"/>
    <xf numFmtId="0" fontId="138" fillId="0" borderId="0" applyFont="0" applyFill="0" applyBorder="0" applyAlignment="0" applyProtection="0"/>
    <xf numFmtId="0" fontId="103" fillId="7" borderId="7" applyNumberFormat="0" applyAlignment="0" applyProtection="0"/>
    <xf numFmtId="0" fontId="139" fillId="66" borderId="19" applyNumberFormat="0" applyAlignment="0" applyProtection="0"/>
    <xf numFmtId="0" fontId="139" fillId="66" borderId="19" applyNumberFormat="0" applyAlignment="0" applyProtection="0"/>
    <xf numFmtId="0" fontId="102" fillId="0" borderId="6" applyNumberFormat="0" applyFill="0" applyAlignment="0" applyProtection="0"/>
    <xf numFmtId="0" fontId="140" fillId="0" borderId="20" applyNumberFormat="0" applyFill="0" applyAlignment="0" applyProtection="0"/>
    <xf numFmtId="0" fontId="140" fillId="0" borderId="20" applyNumberFormat="0" applyFill="0" applyAlignment="0" applyProtection="0"/>
    <xf numFmtId="176" fontId="111" fillId="0" borderId="21" applyFont="0" applyFill="0" applyBorder="0" applyProtection="0">
      <alignment horizontal="right"/>
    </xf>
    <xf numFmtId="0" fontId="141" fillId="66" borderId="19" applyNumberFormat="0" applyAlignment="0" applyProtection="0"/>
    <xf numFmtId="0" fontId="139" fillId="66" borderId="19" applyNumberFormat="0" applyAlignment="0" applyProtection="0"/>
    <xf numFmtId="0" fontId="141" fillId="66" borderId="19" applyNumberFormat="0" applyAlignment="0" applyProtection="0"/>
    <xf numFmtId="1" fontId="142" fillId="67" borderId="22">
      <alignment horizontal="right" vertical="center"/>
    </xf>
    <xf numFmtId="40" fontId="111" fillId="0" borderId="0" applyFont="0" applyFill="0" applyBorder="0" applyProtection="0">
      <alignment horizontal="right"/>
    </xf>
    <xf numFmtId="3" fontId="143" fillId="0" borderId="0" applyFont="0" applyFill="0" applyBorder="0" applyAlignment="0" applyProtection="0"/>
    <xf numFmtId="0" fontId="144" fillId="0" borderId="0" applyFill="0" applyBorder="0" applyAlignment="0" applyProtection="0">
      <protection locked="0"/>
    </xf>
    <xf numFmtId="37" fontId="111" fillId="45" borderId="15" applyFill="0" applyBorder="0" applyAlignment="0" applyProtection="0"/>
    <xf numFmtId="37" fontId="111" fillId="45" borderId="15" applyFill="0" applyBorder="0" applyAlignment="0" applyProtection="0"/>
    <xf numFmtId="178" fontId="123" fillId="0" borderId="23" applyFont="0" applyFill="0" applyBorder="0" applyAlignment="0" applyProtection="0"/>
    <xf numFmtId="179" fontId="123" fillId="0" borderId="0" applyFont="0" applyFill="0" applyBorder="0" applyAlignment="0"/>
    <xf numFmtId="179" fontId="123" fillId="0" borderId="0" applyFont="0" applyFill="0" applyBorder="0" applyAlignment="0"/>
    <xf numFmtId="176" fontId="111" fillId="0" borderId="24">
      <protection locked="0"/>
    </xf>
    <xf numFmtId="0" fontId="143" fillId="0" borderId="0" applyFont="0" applyFill="0" applyBorder="0" applyAlignment="0" applyProtection="0"/>
    <xf numFmtId="14" fontId="145" fillId="63" borderId="25" applyFill="0" applyBorder="0">
      <alignment horizontal="right"/>
    </xf>
    <xf numFmtId="22" fontId="146" fillId="0" borderId="0">
      <alignment horizontal="left"/>
    </xf>
    <xf numFmtId="15" fontId="145" fillId="0" borderId="0" applyFill="0" applyBorder="0" applyAlignment="0"/>
    <xf numFmtId="174" fontId="145" fillId="68" borderId="0" applyFont="0" applyFill="0" applyBorder="0" applyAlignment="0" applyProtection="0"/>
    <xf numFmtId="180" fontId="129" fillId="68" borderId="26" applyFont="0" applyFill="0" applyBorder="0" applyAlignment="0" applyProtection="0"/>
    <xf numFmtId="180" fontId="123" fillId="68" borderId="0" applyFont="0" applyFill="0" applyBorder="0" applyAlignment="0" applyProtection="0"/>
    <xf numFmtId="17" fontId="145" fillId="0" borderId="0" applyFill="0" applyBorder="0">
      <alignment horizontal="right"/>
    </xf>
    <xf numFmtId="181" fontId="145" fillId="0" borderId="27"/>
    <xf numFmtId="14" fontId="145" fillId="63" borderId="25" applyFill="0" applyBorder="0">
      <alignment horizontal="right"/>
    </xf>
    <xf numFmtId="180" fontId="145" fillId="0" borderId="0" applyFill="0" applyBorder="0">
      <alignment horizontal="right"/>
    </xf>
    <xf numFmtId="179" fontId="111" fillId="0" borderId="28">
      <alignment horizontal="center"/>
    </xf>
    <xf numFmtId="0" fontId="147"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182" fontId="123" fillId="0" borderId="0"/>
    <xf numFmtId="182" fontId="123" fillId="0" borderId="0"/>
    <xf numFmtId="0" fontId="95"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07" fillId="9" borderId="0" applyNumberFormat="0" applyBorder="0" applyAlignment="0" applyProtection="0"/>
    <xf numFmtId="0" fontId="118" fillId="55" borderId="0" applyNumberFormat="0" applyBorder="0" applyAlignment="0" applyProtection="0"/>
    <xf numFmtId="0" fontId="118" fillId="55" borderId="0" applyNumberFormat="0" applyBorder="0" applyAlignment="0" applyProtection="0"/>
    <xf numFmtId="0" fontId="107" fillId="13"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07" fillId="17" borderId="0" applyNumberFormat="0" applyBorder="0" applyAlignment="0" applyProtection="0"/>
    <xf numFmtId="0" fontId="118" fillId="58" borderId="0" applyNumberFormat="0" applyBorder="0" applyAlignment="0" applyProtection="0"/>
    <xf numFmtId="0" fontId="118" fillId="58" borderId="0" applyNumberFormat="0" applyBorder="0" applyAlignment="0" applyProtection="0"/>
    <xf numFmtId="0" fontId="107" fillId="21" borderId="0" applyNumberFormat="0" applyBorder="0" applyAlignment="0" applyProtection="0"/>
    <xf numFmtId="0" fontId="118" fillId="51" borderId="0" applyNumberFormat="0" applyBorder="0" applyAlignment="0" applyProtection="0"/>
    <xf numFmtId="0" fontId="118" fillId="51" borderId="0" applyNumberFormat="0" applyBorder="0" applyAlignment="0" applyProtection="0"/>
    <xf numFmtId="0" fontId="107" fillId="25" borderId="0" applyNumberFormat="0" applyBorder="0" applyAlignment="0" applyProtection="0"/>
    <xf numFmtId="0" fontId="118" fillId="52" borderId="0" applyNumberFormat="0" applyBorder="0" applyAlignment="0" applyProtection="0"/>
    <xf numFmtId="0" fontId="118" fillId="52" borderId="0" applyNumberFormat="0" applyBorder="0" applyAlignment="0" applyProtection="0"/>
    <xf numFmtId="0" fontId="107" fillId="29" borderId="0" applyNumberFormat="0" applyBorder="0" applyAlignment="0" applyProtection="0"/>
    <xf numFmtId="0" fontId="118" fillId="50" borderId="0" applyNumberFormat="0" applyBorder="0" applyAlignment="0" applyProtection="0"/>
    <xf numFmtId="0" fontId="118" fillId="50" borderId="0" applyNumberFormat="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9" fillId="5" borderId="4" applyNumberFormat="0" applyAlignment="0" applyProtection="0"/>
    <xf numFmtId="0" fontId="151" fillId="43" borderId="18" applyNumberFormat="0" applyAlignment="0" applyProtection="0"/>
    <xf numFmtId="0" fontId="151" fillId="43" borderId="18" applyNumberFormat="0" applyAlignment="0" applyProtection="0"/>
    <xf numFmtId="164" fontId="111" fillId="0" borderId="0" applyFont="0" applyFill="0" applyBorder="0" applyAlignment="0" applyProtection="0"/>
    <xf numFmtId="183" fontId="111" fillId="0" borderId="0" applyFon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152" fillId="0" borderId="0" applyNumberFormat="0" applyFill="0" applyBorder="0" applyAlignment="0" applyProtection="0"/>
    <xf numFmtId="184" fontId="154" fillId="0" borderId="0" applyFont="0" applyFill="0" applyBorder="0" applyAlignment="0" applyProtection="0"/>
    <xf numFmtId="177" fontId="154" fillId="0" borderId="0" applyFont="0" applyFill="0" applyBorder="0" applyAlignment="0" applyProtection="0"/>
    <xf numFmtId="185" fontId="155" fillId="0" borderId="0">
      <protection locked="0"/>
    </xf>
    <xf numFmtId="185" fontId="156" fillId="0" borderId="0">
      <protection locked="0"/>
    </xf>
    <xf numFmtId="185" fontId="156" fillId="0" borderId="0">
      <protection locked="0"/>
    </xf>
    <xf numFmtId="185" fontId="156" fillId="0" borderId="0">
      <protection locked="0"/>
    </xf>
    <xf numFmtId="185" fontId="155" fillId="0" borderId="0">
      <protection locked="0"/>
    </xf>
    <xf numFmtId="185" fontId="156" fillId="0" borderId="0">
      <protection locked="0"/>
    </xf>
    <xf numFmtId="185" fontId="156" fillId="0" borderId="0">
      <protection locked="0"/>
    </xf>
    <xf numFmtId="3" fontId="157" fillId="0" borderId="0" applyFont="0" applyFill="0" applyBorder="0" applyAlignment="0" applyProtection="0"/>
    <xf numFmtId="2" fontId="143" fillId="0" borderId="0" applyFont="0" applyFill="0" applyBorder="0" applyAlignment="0" applyProtection="0"/>
    <xf numFmtId="186" fontId="111" fillId="68" borderId="0" applyFont="0" applyFill="0" applyBorder="0" applyAlignment="0"/>
    <xf numFmtId="0" fontId="158" fillId="0" borderId="0" applyNumberFormat="0" applyFill="0" applyBorder="0" applyAlignment="0" applyProtection="0">
      <alignment vertical="top"/>
      <protection locked="0"/>
    </xf>
    <xf numFmtId="187" fontId="110" fillId="45" borderId="29" applyFill="0" applyBorder="0">
      <alignment vertical="center"/>
    </xf>
    <xf numFmtId="187" fontId="110" fillId="45" borderId="29" applyFill="0" applyBorder="0">
      <alignment vertical="center"/>
    </xf>
    <xf numFmtId="184" fontId="111" fillId="45" borderId="30" applyFill="0" applyBorder="0">
      <alignment vertical="center"/>
    </xf>
    <xf numFmtId="184" fontId="111" fillId="45" borderId="30" applyFill="0" applyBorder="0">
      <alignment vertical="center"/>
    </xf>
    <xf numFmtId="0" fontId="159" fillId="40" borderId="0" applyNumberFormat="0" applyBorder="0" applyAlignment="0" applyProtection="0"/>
    <xf numFmtId="0" fontId="132" fillId="44" borderId="0" applyNumberFormat="0" applyBorder="0" applyAlignment="0" applyProtection="0"/>
    <xf numFmtId="0" fontId="159" fillId="40" borderId="0" applyNumberFormat="0" applyBorder="0" applyAlignment="0" applyProtection="0"/>
    <xf numFmtId="38" fontId="123" fillId="45" borderId="0" applyNumberFormat="0" applyBorder="0" applyAlignment="0" applyProtection="0"/>
    <xf numFmtId="38" fontId="123" fillId="45" borderId="0" applyNumberFormat="0" applyBorder="0" applyAlignment="0" applyProtection="0"/>
    <xf numFmtId="0" fontId="160" fillId="0" borderId="31" applyNumberFormat="0" applyAlignment="0" applyProtection="0">
      <alignment horizontal="left" vertical="center"/>
    </xf>
    <xf numFmtId="37" fontId="144" fillId="69" borderId="0">
      <alignment vertical="center"/>
    </xf>
    <xf numFmtId="0" fontId="160" fillId="0" borderId="32">
      <alignment horizontal="left" vertical="center"/>
    </xf>
    <xf numFmtId="37" fontId="161" fillId="69" borderId="0">
      <alignment horizontal="left" vertical="center"/>
    </xf>
    <xf numFmtId="0" fontId="160" fillId="0" borderId="32">
      <alignment horizontal="left" vertical="center"/>
    </xf>
    <xf numFmtId="37" fontId="162" fillId="69" borderId="0">
      <alignment horizontal="left"/>
    </xf>
    <xf numFmtId="0" fontId="163" fillId="0" borderId="0" applyFill="0" applyBorder="0" applyProtection="0">
      <alignment horizontal="right"/>
    </xf>
    <xf numFmtId="0" fontId="164" fillId="0" borderId="33" applyNumberFormat="0" applyFill="0" applyAlignment="0" applyProtection="0"/>
    <xf numFmtId="0" fontId="165" fillId="0" borderId="34" applyNumberFormat="0" applyFill="0" applyAlignment="0" applyProtection="0"/>
    <xf numFmtId="0" fontId="164" fillId="0" borderId="33" applyNumberFormat="0" applyFill="0" applyAlignment="0" applyProtection="0"/>
    <xf numFmtId="0" fontId="166" fillId="0" borderId="35" applyNumberFormat="0" applyFill="0" applyAlignment="0" applyProtection="0"/>
    <xf numFmtId="0" fontId="167" fillId="0" borderId="36" applyNumberFormat="0" applyFill="0" applyAlignment="0" applyProtection="0"/>
    <xf numFmtId="0" fontId="166" fillId="0" borderId="35" applyNumberFormat="0" applyFill="0" applyAlignment="0" applyProtection="0"/>
    <xf numFmtId="0" fontId="168" fillId="0" borderId="37" applyNumberFormat="0" applyFill="0" applyAlignment="0" applyProtection="0"/>
    <xf numFmtId="0" fontId="169" fillId="0" borderId="38" applyNumberFormat="0" applyFill="0" applyAlignment="0" applyProtection="0"/>
    <xf numFmtId="0" fontId="168" fillId="0" borderId="37" applyNumberFormat="0" applyFill="0" applyAlignment="0" applyProtection="0"/>
    <xf numFmtId="0" fontId="168" fillId="0" borderId="0" applyNumberFormat="0" applyFill="0" applyBorder="0" applyAlignment="0" applyProtection="0"/>
    <xf numFmtId="0" fontId="169" fillId="0" borderId="0" applyNumberFormat="0" applyFill="0" applyBorder="0" applyAlignment="0" applyProtection="0"/>
    <xf numFmtId="0" fontId="168" fillId="0" borderId="0" applyNumberFormat="0" applyFill="0" applyBorder="0" applyAlignment="0" applyProtection="0"/>
    <xf numFmtId="0" fontId="170" fillId="0" borderId="0" applyFill="0" applyAlignment="0" applyProtection="0">
      <protection locked="0"/>
    </xf>
    <xf numFmtId="0" fontId="170" fillId="0" borderId="27" applyFill="0" applyAlignment="0" applyProtection="0">
      <protection locked="0"/>
    </xf>
    <xf numFmtId="188" fontId="111" fillId="0" borderId="0" applyFont="0" applyFill="0" applyBorder="0" applyAlignment="0" applyProtection="0">
      <alignment vertical="top" wrapText="1"/>
    </xf>
    <xf numFmtId="188" fontId="111" fillId="0" borderId="0" applyFont="0" applyFill="0" applyBorder="0" applyAlignment="0" applyProtection="0">
      <alignment vertical="top" wrapText="1"/>
    </xf>
    <xf numFmtId="189" fontId="171" fillId="0" borderId="0" applyFill="0" applyBorder="0" applyAlignment="0" applyProtection="0"/>
    <xf numFmtId="0" fontId="172" fillId="69" borderId="39" applyNumberFormat="0" applyFont="0" applyBorder="0" applyAlignment="0">
      <alignment vertical="center"/>
    </xf>
    <xf numFmtId="0" fontId="172" fillId="63" borderId="40" applyNumberFormat="0" applyFont="0" applyBorder="0" applyAlignment="0"/>
    <xf numFmtId="0" fontId="173" fillId="0" borderId="0" applyNumberFormat="0" applyFill="0" applyBorder="0" applyAlignment="0" applyProtection="0">
      <alignment vertical="top"/>
      <protection locked="0"/>
    </xf>
    <xf numFmtId="0" fontId="97" fillId="3" borderId="0" applyNumberFormat="0" applyBorder="0" applyAlignment="0" applyProtection="0"/>
    <xf numFmtId="0" fontId="127" fillId="38" borderId="0" applyNumberFormat="0" applyBorder="0" applyAlignment="0" applyProtection="0"/>
    <xf numFmtId="0" fontId="127" fillId="38" borderId="0" applyNumberFormat="0" applyBorder="0" applyAlignment="0" applyProtection="0"/>
    <xf numFmtId="190" fontId="111" fillId="0" borderId="0" applyNumberFormat="0" applyFill="0" applyBorder="0" applyAlignment="0" applyProtection="0"/>
    <xf numFmtId="190" fontId="111" fillId="0" borderId="0" applyNumberFormat="0" applyFill="0" applyBorder="0" applyAlignment="0" applyProtection="0"/>
    <xf numFmtId="0" fontId="174" fillId="43" borderId="18" applyNumberFormat="0" applyAlignment="0" applyProtection="0"/>
    <xf numFmtId="10" fontId="123" fillId="68" borderId="22" applyNumberFormat="0" applyBorder="0" applyAlignment="0" applyProtection="0"/>
    <xf numFmtId="10" fontId="123" fillId="68" borderId="22" applyNumberFormat="0" applyBorder="0" applyAlignment="0" applyProtection="0"/>
    <xf numFmtId="0" fontId="151" fillId="47" borderId="18" applyNumberFormat="0" applyAlignment="0" applyProtection="0"/>
    <xf numFmtId="176" fontId="123" fillId="0" borderId="0"/>
    <xf numFmtId="176" fontId="123" fillId="0" borderId="0"/>
    <xf numFmtId="191" fontId="111" fillId="68" borderId="0" applyFont="0" applyBorder="0" applyAlignment="0" applyProtection="0">
      <protection locked="0"/>
    </xf>
    <xf numFmtId="192" fontId="111" fillId="68" borderId="0" applyFont="0" applyBorder="0" applyAlignment="0">
      <protection locked="0"/>
    </xf>
    <xf numFmtId="174" fontId="171" fillId="70" borderId="0">
      <protection locked="0"/>
    </xf>
    <xf numFmtId="0" fontId="175" fillId="71" borderId="0" applyNumberFormat="0" applyBorder="0" applyAlignment="0">
      <protection locked="0"/>
    </xf>
    <xf numFmtId="193" fontId="129" fillId="68" borderId="0" applyBorder="0" applyAlignment="0">
      <protection locked="0"/>
    </xf>
    <xf numFmtId="10" fontId="123" fillId="68" borderId="0">
      <protection locked="0"/>
    </xf>
    <xf numFmtId="10" fontId="123" fillId="68" borderId="0">
      <protection locked="0"/>
    </xf>
    <xf numFmtId="194" fontId="111" fillId="0" borderId="0"/>
    <xf numFmtId="174" fontId="111" fillId="68" borderId="0" applyNumberFormat="0" applyBorder="0" applyAlignment="0">
      <protection locked="0"/>
    </xf>
    <xf numFmtId="38" fontId="129" fillId="63" borderId="0"/>
    <xf numFmtId="0" fontId="176" fillId="62" borderId="41" applyNumberFormat="0" applyFont="0" applyBorder="0">
      <alignment horizontal="left"/>
      <protection locked="0"/>
    </xf>
    <xf numFmtId="195" fontId="128" fillId="68" borderId="0">
      <protection locked="0"/>
    </xf>
    <xf numFmtId="169" fontId="128" fillId="68" borderId="0">
      <protection locked="0"/>
    </xf>
    <xf numFmtId="196" fontId="111" fillId="45" borderId="40" applyFill="0" applyBorder="0" applyAlignment="0"/>
    <xf numFmtId="0" fontId="177"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37" fontId="145" fillId="0" borderId="22" applyNumberFormat="0" applyFont="0" applyFill="0" applyAlignment="0" applyProtection="0"/>
    <xf numFmtId="37" fontId="111" fillId="69" borderId="0">
      <alignment horizontal="left" indent="1"/>
    </xf>
    <xf numFmtId="37" fontId="111" fillId="69" borderId="0">
      <alignment horizontal="left" indent="1"/>
    </xf>
    <xf numFmtId="37" fontId="111" fillId="69" borderId="0">
      <alignment horizontal="left" indent="2"/>
    </xf>
    <xf numFmtId="37" fontId="111" fillId="69" borderId="0">
      <alignment horizontal="left" indent="2"/>
    </xf>
    <xf numFmtId="0" fontId="111" fillId="69" borderId="0">
      <alignment horizontal="left" vertical="center" indent="1"/>
    </xf>
    <xf numFmtId="0" fontId="111" fillId="69" borderId="0">
      <alignment horizontal="left" vertical="center" indent="1"/>
    </xf>
    <xf numFmtId="0" fontId="179" fillId="0" borderId="20" applyNumberFormat="0" applyFill="0" applyAlignment="0" applyProtection="0"/>
    <xf numFmtId="0" fontId="180" fillId="0" borderId="42" applyNumberFormat="0" applyFill="0" applyAlignment="0" applyProtection="0"/>
    <xf numFmtId="0" fontId="179" fillId="0" borderId="20" applyNumberFormat="0" applyFill="0" applyAlignment="0" applyProtection="0"/>
    <xf numFmtId="195" fontId="111" fillId="0" borderId="0" applyNumberFormat="0" applyFont="0" applyFill="0" applyBorder="0" applyAlignment="0"/>
    <xf numFmtId="195" fontId="111" fillId="0" borderId="0" applyNumberFormat="0" applyFont="0" applyFill="0" applyBorder="0" applyAlignment="0"/>
    <xf numFmtId="14" fontId="145" fillId="0" borderId="27" applyFont="0" applyFill="0" applyBorder="0" applyAlignment="0" applyProtection="0"/>
    <xf numFmtId="0" fontId="138" fillId="0" borderId="0" applyFont="0" applyFill="0" applyBorder="0" applyAlignment="0" applyProtection="0"/>
    <xf numFmtId="38" fontId="181" fillId="0" borderId="0" applyFont="0" applyFill="0" applyBorder="0" applyAlignment="0" applyProtection="0"/>
    <xf numFmtId="40" fontId="181" fillId="0" borderId="0" applyFont="0" applyFill="0" applyBorder="0" applyAlignment="0" applyProtection="0"/>
    <xf numFmtId="38" fontId="182" fillId="0" borderId="0" applyFont="0" applyFill="0" applyBorder="0" applyAlignment="0" applyProtection="0"/>
    <xf numFmtId="197" fontId="183"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5"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40" fontId="182" fillId="0" borderId="0" applyFont="0" applyFill="0" applyBorder="0" applyAlignment="0" applyProtection="0"/>
    <xf numFmtId="177" fontId="111" fillId="0" borderId="0" applyFont="0" applyFill="0" applyBorder="0" applyAlignment="0" applyProtection="0"/>
    <xf numFmtId="198" fontId="111"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10" fillId="0" borderId="0" applyFont="0" applyFill="0" applyBorder="0" applyAlignment="0" applyProtection="0"/>
    <xf numFmtId="167" fontId="110" fillId="0" borderId="0" applyFont="0" applyFill="0" applyBorder="0" applyAlignment="0" applyProtection="0"/>
    <xf numFmtId="167" fontId="108" fillId="0" borderId="0" applyFont="0" applyFill="0" applyBorder="0" applyAlignment="0" applyProtection="0"/>
    <xf numFmtId="167" fontId="9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67" fontId="111" fillId="0" borderId="0" applyFont="0" applyFill="0" applyBorder="0" applyAlignment="0" applyProtection="0"/>
    <xf numFmtId="177" fontId="111" fillId="0" borderId="0" applyFont="0" applyFill="0" applyBorder="0" applyAlignment="0" applyProtection="0"/>
    <xf numFmtId="199" fontId="184" fillId="0" borderId="0" applyFont="0" applyFill="0" applyBorder="0" applyAlignment="0" applyProtection="0"/>
    <xf numFmtId="200" fontId="184" fillId="0" borderId="0" applyFont="0" applyFill="0" applyBorder="0" applyAlignment="0" applyProtection="0"/>
    <xf numFmtId="201" fontId="111" fillId="0" borderId="0" applyFont="0" applyFill="0" applyBorder="0" applyAlignment="0" applyProtection="0"/>
    <xf numFmtId="176" fontId="182" fillId="0" borderId="0" applyFont="0" applyFill="0" applyBorder="0" applyAlignment="0" applyProtection="0"/>
    <xf numFmtId="201" fontId="111" fillId="0" borderId="0" applyFont="0" applyFill="0" applyBorder="0" applyAlignment="0" applyProtection="0"/>
    <xf numFmtId="202" fontId="111" fillId="0" borderId="0" applyFont="0" applyFill="0" applyBorder="0" applyAlignment="0" applyProtection="0"/>
    <xf numFmtId="202" fontId="111" fillId="0" borderId="0" applyFont="0" applyFill="0" applyBorder="0" applyAlignment="0" applyProtection="0"/>
    <xf numFmtId="202" fontId="111" fillId="0" borderId="0" applyFont="0" applyFill="0" applyBorder="0" applyAlignment="0" applyProtection="0"/>
    <xf numFmtId="202" fontId="111" fillId="0" borderId="0" applyFont="0" applyFill="0" applyBorder="0" applyAlignment="0" applyProtection="0"/>
    <xf numFmtId="0" fontId="157" fillId="0" borderId="0" applyFont="0" applyFill="0" applyBorder="0" applyAlignment="0" applyProtection="0"/>
    <xf numFmtId="195" fontId="111" fillId="0" borderId="0" applyNumberFormat="0" applyFill="0" applyBorder="0" applyAlignment="0" applyProtection="0"/>
    <xf numFmtId="195" fontId="111" fillId="0" borderId="0" applyNumberFormat="0" applyFill="0" applyBorder="0" applyAlignment="0" applyProtection="0"/>
    <xf numFmtId="203" fontId="185" fillId="0" borderId="27" applyBorder="0"/>
    <xf numFmtId="169" fontId="185" fillId="34" borderId="0" applyNumberFormat="0" applyFont="0" applyFill="0"/>
    <xf numFmtId="195" fontId="111" fillId="0" borderId="0" applyNumberFormat="0" applyFill="0" applyBorder="0" applyAlignment="0" applyProtection="0"/>
    <xf numFmtId="3" fontId="186" fillId="35" borderId="27">
      <alignment horizontal="center"/>
    </xf>
    <xf numFmtId="204" fontId="111" fillId="0" borderId="0" applyFont="0" applyFill="0" applyBorder="0" applyAlignment="0" applyProtection="0"/>
    <xf numFmtId="204" fontId="187" fillId="0" borderId="0" applyFont="0" applyFill="0" applyBorder="0" applyAlignment="0" applyProtection="0"/>
    <xf numFmtId="205" fontId="111" fillId="45" borderId="0" applyFont="0" applyBorder="0" applyAlignment="0" applyProtection="0">
      <alignment horizontal="right"/>
      <protection hidden="1"/>
    </xf>
    <xf numFmtId="0" fontId="188" fillId="0" borderId="0"/>
    <xf numFmtId="0" fontId="188" fillId="0" borderId="0"/>
    <xf numFmtId="0" fontId="98" fillId="4" borderId="0" applyNumberFormat="0" applyBorder="0" applyAlignment="0" applyProtection="0"/>
    <xf numFmtId="0" fontId="189" fillId="47" borderId="0" applyNumberFormat="0" applyBorder="0" applyAlignment="0" applyProtection="0"/>
    <xf numFmtId="0" fontId="189" fillId="47" borderId="0" applyNumberFormat="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88" fillId="0" borderId="0"/>
    <xf numFmtId="206" fontId="111" fillId="69" borderId="43" applyFont="0" applyBorder="0">
      <alignment horizontal="center" vertical="center"/>
    </xf>
    <xf numFmtId="206" fontId="111" fillId="69" borderId="43" applyFont="0" applyBorder="0">
      <alignment horizontal="center" vertical="center"/>
    </xf>
    <xf numFmtId="207" fontId="123" fillId="0" borderId="0" applyFont="0" applyFill="0" applyBorder="0" applyAlignment="0" applyProtection="0">
      <alignment horizontal="right"/>
    </xf>
    <xf numFmtId="208" fontId="190" fillId="0" borderId="0"/>
    <xf numFmtId="38" fontId="123" fillId="0" borderId="0" applyFont="0" applyFill="0" applyBorder="0" applyAlignment="0"/>
    <xf numFmtId="38" fontId="123" fillId="0" borderId="0" applyFont="0" applyFill="0" applyBorder="0" applyAlignment="0"/>
    <xf numFmtId="195" fontId="123" fillId="0" borderId="0" applyFont="0" applyFill="0" applyBorder="0" applyAlignment="0" applyProtection="0"/>
    <xf numFmtId="195" fontId="123" fillId="0" borderId="0" applyFont="0" applyFill="0" applyBorder="0" applyAlignment="0" applyProtection="0"/>
    <xf numFmtId="39" fontId="111" fillId="0" borderId="0" applyFont="0" applyFill="0" applyBorder="0" applyAlignment="0" applyProtection="0"/>
    <xf numFmtId="209" fontId="11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191" fillId="0" borderId="0"/>
    <xf numFmtId="0" fontId="182" fillId="0" borderId="0"/>
    <xf numFmtId="0" fontId="110" fillId="0" borderId="0"/>
    <xf numFmtId="0" fontId="192" fillId="0" borderId="0"/>
    <xf numFmtId="0" fontId="111" fillId="0" borderId="0"/>
    <xf numFmtId="0" fontId="111" fillId="0" borderId="0"/>
    <xf numFmtId="0" fontId="111" fillId="0" borderId="0"/>
    <xf numFmtId="0" fontId="91" fillId="0" borderId="0"/>
    <xf numFmtId="0" fontId="91" fillId="0" borderId="0"/>
    <xf numFmtId="0" fontId="91" fillId="0" borderId="0"/>
    <xf numFmtId="0" fontId="91" fillId="0" borderId="0"/>
    <xf numFmtId="0" fontId="111" fillId="0" borderId="0"/>
    <xf numFmtId="0" fontId="91" fillId="0" borderId="0"/>
    <xf numFmtId="0" fontId="91" fillId="0" borderId="0"/>
    <xf numFmtId="0" fontId="111" fillId="0" borderId="0"/>
    <xf numFmtId="207" fontId="123" fillId="0" borderId="0" applyFont="0" applyFill="0" applyBorder="0" applyAlignment="0" applyProtection="0">
      <alignment horizontal="right"/>
    </xf>
    <xf numFmtId="0" fontId="111" fillId="0" borderId="0"/>
    <xf numFmtId="0" fontId="111" fillId="0" borderId="0"/>
    <xf numFmtId="0" fontId="111" fillId="0" borderId="0"/>
    <xf numFmtId="0" fontId="11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1" fillId="0" borderId="0"/>
    <xf numFmtId="0" fontId="108" fillId="0" borderId="0"/>
    <xf numFmtId="0" fontId="11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93" fillId="0" borderId="0"/>
    <xf numFmtId="0" fontId="111" fillId="0" borderId="0"/>
    <xf numFmtId="0" fontId="193" fillId="0" borderId="0"/>
    <xf numFmtId="0" fontId="91" fillId="0" borderId="0"/>
    <xf numFmtId="0" fontId="91" fillId="0" borderId="0"/>
    <xf numFmtId="0" fontId="193" fillId="0" borderId="0"/>
    <xf numFmtId="0" fontId="91" fillId="0" borderId="0"/>
    <xf numFmtId="0" fontId="91" fillId="0" borderId="0"/>
    <xf numFmtId="174" fontId="145" fillId="0" borderId="0" applyNumberFormat="0" applyFill="0" applyBorder="0" applyAlignment="0" applyProtection="0"/>
    <xf numFmtId="210" fontId="123" fillId="0" borderId="0" applyFont="0" applyFill="0" applyBorder="0" applyAlignment="0" applyProtection="0"/>
    <xf numFmtId="210" fontId="123" fillId="0" borderId="0" applyFont="0" applyFill="0" applyBorder="0" applyAlignment="0" applyProtection="0"/>
    <xf numFmtId="0" fontId="154" fillId="0" borderId="0"/>
    <xf numFmtId="0" fontId="176" fillId="0" borderId="0">
      <alignment horizontal="left" indent="1"/>
    </xf>
    <xf numFmtId="0" fontId="111" fillId="0" borderId="0">
      <alignment horizontal="left" indent="1"/>
    </xf>
    <xf numFmtId="40" fontId="145" fillId="0" borderId="0">
      <alignment horizontal="left"/>
    </xf>
    <xf numFmtId="0" fontId="181" fillId="0" borderId="0"/>
    <xf numFmtId="174" fontId="123" fillId="0" borderId="0"/>
    <xf numFmtId="174" fontId="123" fillId="0" borderId="0"/>
    <xf numFmtId="0" fontId="194" fillId="0" borderId="0"/>
    <xf numFmtId="0" fontId="138" fillId="0" borderId="0"/>
    <xf numFmtId="211" fontId="123" fillId="0" borderId="0" applyFont="0" applyFill="0" applyBorder="0" applyAlignment="0" applyProtection="0"/>
    <xf numFmtId="212" fontId="123" fillId="0" borderId="0" applyFont="0" applyFill="0" applyBorder="0" applyAlignment="0" applyProtection="0"/>
    <xf numFmtId="0" fontId="108" fillId="8" borderId="8" applyNumberFormat="0" applyFont="0" applyAlignment="0" applyProtection="0"/>
    <xf numFmtId="0" fontId="108" fillId="8" borderId="8" applyNumberFormat="0" applyFont="0" applyAlignment="0" applyProtection="0"/>
    <xf numFmtId="0" fontId="116" fillId="41" borderId="44" applyNumberFormat="0" applyFont="0" applyAlignment="0" applyProtection="0"/>
    <xf numFmtId="0" fontId="116" fillId="41" borderId="44" applyNumberFormat="0" applyFont="0" applyAlignment="0" applyProtection="0"/>
    <xf numFmtId="0" fontId="108" fillId="41" borderId="44" applyNumberFormat="0" applyFont="0" applyAlignment="0" applyProtection="0"/>
    <xf numFmtId="0" fontId="181" fillId="41" borderId="44" applyNumberFormat="0" applyFont="0" applyAlignment="0" applyProtection="0"/>
    <xf numFmtId="0" fontId="108" fillId="41" borderId="44" applyNumberFormat="0" applyFont="0" applyAlignment="0" applyProtection="0"/>
    <xf numFmtId="213" fontId="111" fillId="0" borderId="0" applyFont="0" applyFill="0" applyBorder="0" applyAlignment="0" applyProtection="0"/>
    <xf numFmtId="214" fontId="111" fillId="0" borderId="0" applyFont="0" applyFill="0" applyBorder="0" applyAlignment="0" applyProtection="0"/>
    <xf numFmtId="0" fontId="195" fillId="64" borderId="45" applyNumberFormat="0" applyAlignment="0" applyProtection="0"/>
    <xf numFmtId="0" fontId="196" fillId="65" borderId="45" applyNumberFormat="0" applyAlignment="0" applyProtection="0"/>
    <xf numFmtId="39" fontId="110" fillId="34" borderId="0">
      <alignment horizontal="right"/>
    </xf>
    <xf numFmtId="39" fontId="110" fillId="34" borderId="0">
      <alignment horizontal="right"/>
    </xf>
    <xf numFmtId="0" fontId="115" fillId="34" borderId="0">
      <alignment horizontal="center" vertical="center"/>
    </xf>
    <xf numFmtId="0" fontId="109" fillId="34" borderId="46"/>
    <xf numFmtId="0" fontId="115" fillId="34" borderId="0" applyBorder="0">
      <alignment horizontal="centerContinuous"/>
    </xf>
    <xf numFmtId="0" fontId="197" fillId="34" borderId="0" applyBorder="0">
      <alignment horizontal="centerContinuous"/>
    </xf>
    <xf numFmtId="0" fontId="195" fillId="64" borderId="45" applyNumberFormat="0" applyAlignment="0" applyProtection="0"/>
    <xf numFmtId="37" fontId="111" fillId="69" borderId="0" applyBorder="0"/>
    <xf numFmtId="37" fontId="111" fillId="69" borderId="0" applyBorder="0"/>
    <xf numFmtId="37" fontId="198" fillId="69" borderId="0"/>
    <xf numFmtId="4" fontId="111" fillId="69" borderId="0"/>
    <xf numFmtId="4" fontId="111" fillId="69" borderId="0"/>
    <xf numFmtId="4" fontId="199" fillId="69" borderId="0"/>
    <xf numFmtId="169" fontId="111" fillId="69" borderId="0">
      <alignment horizontal="right"/>
    </xf>
    <xf numFmtId="169" fontId="111" fillId="69" borderId="0">
      <alignment horizontal="right"/>
    </xf>
    <xf numFmtId="169" fontId="198" fillId="69" borderId="0">
      <alignment horizontal="right"/>
    </xf>
    <xf numFmtId="3" fontId="111" fillId="69" borderId="15" applyFill="0" applyBorder="0" applyAlignment="0" applyProtection="0">
      <alignment vertical="top"/>
    </xf>
    <xf numFmtId="215" fontId="111" fillId="0" borderId="0" applyFont="0" applyFill="0" applyBorder="0" applyAlignment="0"/>
    <xf numFmtId="169" fontId="111" fillId="0" borderId="0" applyFont="0" applyFill="0" applyBorder="0" applyAlignment="0" applyProtection="0"/>
    <xf numFmtId="216" fontId="200" fillId="0" borderId="0" applyFill="0" applyBorder="0" applyAlignment="0" applyProtection="0"/>
    <xf numFmtId="193" fontId="123" fillId="0" borderId="0" applyFont="0" applyFill="0" applyBorder="0" applyAlignment="0"/>
    <xf numFmtId="10" fontId="111" fillId="0" borderId="0" applyFont="0" applyFill="0" applyBorder="0" applyAlignment="0" applyProtection="0"/>
    <xf numFmtId="217" fontId="111" fillId="0" borderId="0" applyFont="0" applyFill="0" applyBorder="0" applyProtection="0">
      <alignment horizontal="right"/>
    </xf>
    <xf numFmtId="169" fontId="201" fillId="63" borderId="44"/>
    <xf numFmtId="218" fontId="111" fillId="0" borderId="0" applyFont="0" applyFill="0" applyBorder="0" applyAlignment="0" applyProtection="0"/>
    <xf numFmtId="38" fontId="202" fillId="0" borderId="0" applyNumberForma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82"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11" fillId="0" borderId="0" applyFont="0" applyFill="0" applyBorder="0" applyAlignment="0" applyProtection="0"/>
    <xf numFmtId="9" fontId="203"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204"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205" fillId="0" borderId="0" applyFont="0" applyFill="0" applyBorder="0" applyAlignment="0" applyProtection="0"/>
    <xf numFmtId="190" fontId="111" fillId="0" borderId="0" applyNumberFormat="0" applyAlignment="0">
      <alignment horizontal="left"/>
    </xf>
    <xf numFmtId="0" fontId="206" fillId="0" borderId="22">
      <alignment horizontal="center" vertical="center"/>
    </xf>
    <xf numFmtId="0" fontId="207" fillId="0" borderId="47" applyBorder="0">
      <alignment vertical="top"/>
      <protection locked="0"/>
    </xf>
    <xf numFmtId="219" fontId="208" fillId="0" borderId="0"/>
    <xf numFmtId="220" fontId="184" fillId="0" borderId="16" applyFont="0" applyFill="0" applyBorder="0" applyAlignment="0" applyProtection="0"/>
    <xf numFmtId="220" fontId="184" fillId="0" borderId="16" applyFont="0" applyFill="0" applyBorder="0" applyAlignment="0" applyProtection="0"/>
    <xf numFmtId="221" fontId="111" fillId="0" borderId="0" applyFont="0" applyFill="0" applyBorder="0" applyProtection="0">
      <alignment horizontal="right"/>
    </xf>
    <xf numFmtId="222" fontId="111" fillId="0" borderId="0" applyFont="0" applyFill="0" applyBorder="0" applyProtection="0">
      <alignment horizontal="right"/>
    </xf>
    <xf numFmtId="174" fontId="209" fillId="0" borderId="0" applyNumberFormat="0" applyFill="0" applyBorder="0" applyAlignment="0" applyProtection="0">
      <alignment horizontal="left"/>
    </xf>
    <xf numFmtId="0" fontId="123" fillId="0" borderId="0">
      <alignment horizontal="right"/>
    </xf>
    <xf numFmtId="0" fontId="123" fillId="0" borderId="0">
      <alignment horizontal="right"/>
    </xf>
    <xf numFmtId="0" fontId="100" fillId="6" borderId="5" applyNumberFormat="0" applyAlignment="0" applyProtection="0"/>
    <xf numFmtId="0" fontId="196" fillId="64" borderId="45" applyNumberFormat="0" applyAlignment="0" applyProtection="0"/>
    <xf numFmtId="0" fontId="196" fillId="64" borderId="45" applyNumberFormat="0" applyAlignment="0" applyProtection="0"/>
    <xf numFmtId="4" fontId="210" fillId="63" borderId="48" applyNumberFormat="0" applyProtection="0">
      <alignment vertical="center"/>
    </xf>
    <xf numFmtId="4" fontId="211" fillId="63" borderId="48" applyNumberFormat="0" applyProtection="0">
      <alignment vertical="center"/>
    </xf>
    <xf numFmtId="4" fontId="212" fillId="63" borderId="48" applyNumberFormat="0" applyProtection="0">
      <alignment horizontal="left" vertical="center" indent="1"/>
    </xf>
    <xf numFmtId="4" fontId="210" fillId="65" borderId="48" applyNumberFormat="0" applyProtection="0">
      <alignment horizontal="left" vertical="center" wrapText="1" indent="1"/>
    </xf>
    <xf numFmtId="4" fontId="212" fillId="72" borderId="48" applyNumberFormat="0" applyProtection="0">
      <alignment horizontal="right" vertical="center"/>
    </xf>
    <xf numFmtId="4" fontId="212" fillId="73" borderId="48" applyNumberFormat="0" applyProtection="0">
      <alignment horizontal="right" vertical="center"/>
    </xf>
    <xf numFmtId="4" fontId="212" fillId="74" borderId="48" applyNumberFormat="0" applyProtection="0">
      <alignment horizontal="right" vertical="center"/>
    </xf>
    <xf numFmtId="4" fontId="212" fillId="75" borderId="48" applyNumberFormat="0" applyProtection="0">
      <alignment horizontal="right" vertical="center"/>
    </xf>
    <xf numFmtId="4" fontId="212" fillId="76" borderId="48" applyNumberFormat="0" applyProtection="0">
      <alignment horizontal="right" vertical="center"/>
    </xf>
    <xf numFmtId="4" fontId="212" fillId="69" borderId="48" applyNumberFormat="0" applyProtection="0">
      <alignment horizontal="right" vertical="center"/>
    </xf>
    <xf numFmtId="4" fontId="212" fillId="77" borderId="48" applyNumberFormat="0" applyProtection="0">
      <alignment horizontal="right" vertical="center"/>
    </xf>
    <xf numFmtId="4" fontId="212" fillId="78" borderId="48" applyNumberFormat="0" applyProtection="0">
      <alignment horizontal="right" vertical="center"/>
    </xf>
    <xf numFmtId="4" fontId="212" fillId="79" borderId="48" applyNumberFormat="0" applyProtection="0">
      <alignment horizontal="right" vertical="center"/>
    </xf>
    <xf numFmtId="4" fontId="109" fillId="80" borderId="49" applyNumberFormat="0" applyProtection="0">
      <alignment horizontal="left" vertical="center" indent="1"/>
    </xf>
    <xf numFmtId="4" fontId="124" fillId="60" borderId="0" applyNumberFormat="0" applyProtection="0">
      <alignment horizontal="left" vertical="center" indent="1"/>
    </xf>
    <xf numFmtId="4" fontId="124" fillId="81" borderId="0" applyNumberFormat="0" applyProtection="0">
      <alignment horizontal="left" vertical="center" indent="1"/>
    </xf>
    <xf numFmtId="4" fontId="116" fillId="60" borderId="48" applyNumberFormat="0" applyProtection="0">
      <alignment horizontal="right" vertical="center"/>
    </xf>
    <xf numFmtId="4" fontId="110" fillId="60" borderId="0" applyNumberFormat="0" applyProtection="0">
      <alignment horizontal="left" vertical="center" indent="1"/>
    </xf>
    <xf numFmtId="4" fontId="110" fillId="60" borderId="0" applyNumberFormat="0" applyProtection="0">
      <alignment horizontal="left" vertical="center" indent="1"/>
    </xf>
    <xf numFmtId="4" fontId="110" fillId="82" borderId="0" applyNumberFormat="0" applyProtection="0">
      <alignment horizontal="left" vertical="center" indent="1"/>
    </xf>
    <xf numFmtId="4" fontId="110" fillId="82" borderId="0" applyNumberFormat="0" applyProtection="0">
      <alignment horizontal="left" vertical="center" indent="1"/>
    </xf>
    <xf numFmtId="4" fontId="116" fillId="83" borderId="48" applyNumberFormat="0" applyProtection="0">
      <alignment vertical="center"/>
    </xf>
    <xf numFmtId="4" fontId="213" fillId="83" borderId="48" applyNumberFormat="0" applyProtection="0">
      <alignment vertical="center"/>
    </xf>
    <xf numFmtId="4" fontId="124" fillId="60" borderId="50" applyNumberFormat="0" applyProtection="0">
      <alignment horizontal="left" vertical="center" indent="1"/>
    </xf>
    <xf numFmtId="223" fontId="111" fillId="45" borderId="51">
      <alignment horizontal="right" vertical="center"/>
      <protection locked="0"/>
    </xf>
    <xf numFmtId="223" fontId="111" fillId="45" borderId="51">
      <alignment horizontal="right" vertical="center"/>
      <protection locked="0"/>
    </xf>
    <xf numFmtId="4" fontId="213" fillId="83" borderId="48" applyNumberFormat="0" applyProtection="0">
      <alignment horizontal="right" vertical="center"/>
    </xf>
    <xf numFmtId="4" fontId="110" fillId="84" borderId="48" applyNumberFormat="0" applyProtection="0">
      <alignment horizontal="left" vertical="center" indent="1"/>
    </xf>
    <xf numFmtId="4" fontId="110" fillId="84" borderId="48" applyNumberFormat="0" applyProtection="0">
      <alignment horizontal="left" vertical="center" indent="1"/>
    </xf>
    <xf numFmtId="0" fontId="214" fillId="0" borderId="52" applyNumberFormat="0" applyProtection="0">
      <alignment horizontal="left" vertical="center" indent="1"/>
    </xf>
    <xf numFmtId="4" fontId="215" fillId="64" borderId="53" applyNumberFormat="0" applyProtection="0">
      <alignment horizontal="right" vertical="center"/>
    </xf>
    <xf numFmtId="0" fontId="111" fillId="0" borderId="54" applyNumberFormat="0" applyFont="0" applyFill="0" applyAlignment="0" applyProtection="0"/>
    <xf numFmtId="0" fontId="111" fillId="0" borderId="0" applyNumberFormat="0" applyFont="0" applyFill="0" applyBorder="0" applyAlignment="0" applyProtection="0"/>
    <xf numFmtId="0" fontId="111" fillId="0" borderId="44" applyNumberFormat="0" applyFont="0" applyFill="0" applyAlignment="0" applyProtection="0"/>
    <xf numFmtId="0" fontId="160" fillId="0" borderId="0" applyFill="0" applyBorder="0" applyProtection="0">
      <alignment horizontal="left"/>
    </xf>
    <xf numFmtId="43" fontId="111" fillId="0" borderId="0" applyFont="0" applyFill="0" applyBorder="0" applyAlignment="0" applyProtection="0"/>
    <xf numFmtId="3" fontId="121" fillId="85" borderId="0">
      <alignment horizontal="left"/>
    </xf>
    <xf numFmtId="0" fontId="111" fillId="0" borderId="0"/>
    <xf numFmtId="12" fontId="111" fillId="0" borderId="0" applyFont="0" applyFill="0" applyBorder="0" applyProtection="0">
      <alignment horizontal="right"/>
    </xf>
    <xf numFmtId="12" fontId="111" fillId="0" borderId="0" applyFont="0" applyFill="0" applyBorder="0" applyProtection="0">
      <alignment horizontal="right"/>
    </xf>
    <xf numFmtId="224" fontId="111" fillId="86" borderId="0" applyFont="0" applyFill="0" applyBorder="0" applyProtection="0">
      <alignment horizontal="right"/>
    </xf>
    <xf numFmtId="225" fontId="123" fillId="0" borderId="0" applyFill="0" applyBorder="0" applyProtection="0">
      <alignment horizontal="right" wrapText="1"/>
    </xf>
    <xf numFmtId="0" fontId="110" fillId="0" borderId="0" applyNumberFormat="0" applyBorder="0" applyAlignment="0"/>
    <xf numFmtId="0" fontId="110" fillId="0" borderId="0" applyNumberFormat="0" applyBorder="0" applyAlignment="0"/>
    <xf numFmtId="0" fontId="110" fillId="0" borderId="0" applyNumberFormat="0" applyBorder="0" applyAlignment="0"/>
    <xf numFmtId="0" fontId="110" fillId="0" borderId="0" applyNumberFormat="0" applyBorder="0" applyAlignment="0"/>
    <xf numFmtId="0" fontId="109" fillId="0" borderId="0" applyNumberFormat="0" applyBorder="0" applyAlignment="0"/>
    <xf numFmtId="0" fontId="109" fillId="0" borderId="0" applyNumberFormat="0" applyBorder="0" applyAlignment="0"/>
    <xf numFmtId="0" fontId="212" fillId="0" borderId="0" applyNumberFormat="0" applyBorder="0" applyAlignment="0"/>
    <xf numFmtId="0" fontId="212" fillId="0" borderId="0" applyNumberFormat="0" applyBorder="0" applyAlignment="0"/>
    <xf numFmtId="3" fontId="116" fillId="85" borderId="0">
      <alignment horizontal="left"/>
    </xf>
    <xf numFmtId="1" fontId="216" fillId="0" borderId="0"/>
    <xf numFmtId="0" fontId="123" fillId="0" borderId="0"/>
    <xf numFmtId="0" fontId="123" fillId="0" borderId="0"/>
    <xf numFmtId="0" fontId="188" fillId="0" borderId="0"/>
    <xf numFmtId="37" fontId="110" fillId="0" borderId="0" applyBorder="0" applyAlignment="0" applyProtection="0"/>
    <xf numFmtId="37" fontId="110" fillId="0" borderId="0" applyBorder="0" applyAlignment="0" applyProtection="0"/>
    <xf numFmtId="0" fontId="104"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05"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226" fontId="111" fillId="0" borderId="0" applyFill="0" applyBorder="0" applyAlignment="0" applyProtection="0">
      <alignment horizontal="right"/>
    </xf>
    <xf numFmtId="227" fontId="111" fillId="0" borderId="0"/>
    <xf numFmtId="0" fontId="217" fillId="0" borderId="0" applyNumberFormat="0" applyFill="0" applyBorder="0" applyAlignment="0" applyProtection="0"/>
    <xf numFmtId="0" fontId="218" fillId="0" borderId="0" applyNumberFormat="0" applyFill="0" applyBorder="0" applyAlignment="0" applyProtection="0"/>
    <xf numFmtId="0" fontId="217" fillId="0" borderId="0" applyNumberFormat="0" applyFill="0" applyBorder="0" applyAlignment="0" applyProtection="0"/>
    <xf numFmtId="3" fontId="219" fillId="85" borderId="0">
      <alignment horizontal="center"/>
    </xf>
    <xf numFmtId="0" fontId="93" fillId="0" borderId="1" applyNumberFormat="0" applyFill="0" applyAlignment="0" applyProtection="0"/>
    <xf numFmtId="0" fontId="220" fillId="0" borderId="33" applyNumberFormat="0" applyFill="0" applyAlignment="0" applyProtection="0"/>
    <xf numFmtId="0" fontId="220" fillId="0" borderId="33" applyNumberFormat="0" applyFill="0" applyAlignment="0" applyProtection="0"/>
    <xf numFmtId="0" fontId="94" fillId="0" borderId="2"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95" fillId="0" borderId="3" applyNumberFormat="0" applyFill="0" applyAlignment="0" applyProtection="0"/>
    <xf numFmtId="0" fontId="148" fillId="0" borderId="37" applyNumberFormat="0" applyFill="0" applyAlignment="0" applyProtection="0"/>
    <xf numFmtId="0" fontId="148" fillId="0" borderId="37" applyNumberFormat="0" applyFill="0" applyAlignment="0" applyProtection="0"/>
    <xf numFmtId="0" fontId="92" fillId="0" borderId="0" applyNumberFormat="0" applyFill="0" applyBorder="0" applyAlignment="0" applyProtection="0"/>
    <xf numFmtId="0" fontId="217" fillId="0" borderId="0" applyNumberFormat="0" applyFill="0" applyBorder="0" applyAlignment="0" applyProtection="0"/>
    <xf numFmtId="0" fontId="222" fillId="0" borderId="27" applyNumberFormat="0" applyProtection="0">
      <alignment horizontal="center"/>
    </xf>
    <xf numFmtId="3" fontId="186" fillId="45" borderId="27">
      <alignment horizontal="center" vertical="center"/>
    </xf>
    <xf numFmtId="3" fontId="223" fillId="85" borderId="0">
      <alignment horizontal="left"/>
    </xf>
    <xf numFmtId="0" fontId="224" fillId="0" borderId="0" applyFill="0" applyBorder="0" applyAlignment="0" applyProtection="0"/>
    <xf numFmtId="0" fontId="106" fillId="0" borderId="9" applyNumberFormat="0" applyFill="0" applyAlignment="0" applyProtection="0"/>
    <xf numFmtId="0" fontId="124" fillId="0" borderId="55" applyNumberFormat="0" applyFill="0" applyAlignment="0" applyProtection="0"/>
    <xf numFmtId="0" fontId="124" fillId="0" borderId="55" applyNumberFormat="0" applyFill="0" applyAlignment="0" applyProtection="0"/>
    <xf numFmtId="37" fontId="176" fillId="69" borderId="0">
      <alignment horizontal="left" indent="1"/>
    </xf>
    <xf numFmtId="37" fontId="176" fillId="45" borderId="0">
      <alignment horizontal="left" vertical="center"/>
    </xf>
    <xf numFmtId="3" fontId="109" fillId="87" borderId="0">
      <alignment horizontal="right"/>
    </xf>
    <xf numFmtId="228" fontId="225" fillId="0" borderId="0">
      <alignment horizontal="left"/>
      <protection locked="0"/>
    </xf>
    <xf numFmtId="37" fontId="226" fillId="0" borderId="0">
      <protection locked="0"/>
    </xf>
    <xf numFmtId="229" fontId="111" fillId="0" borderId="0" applyFont="0" applyFill="0" applyBorder="0" applyAlignment="0" applyProtection="0"/>
    <xf numFmtId="229" fontId="111" fillId="0" borderId="0" applyFont="0" applyFill="0" applyBorder="0" applyAlignment="0" applyProtection="0"/>
    <xf numFmtId="2" fontId="157" fillId="0" borderId="0" applyFont="0" applyFill="0" applyBorder="0" applyAlignment="0" applyProtection="0"/>
    <xf numFmtId="0" fontId="147"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227" fillId="0" borderId="0" applyNumberFormat="0" applyFill="0" applyBorder="0" applyAlignment="0" applyProtection="0"/>
    <xf numFmtId="0" fontId="180" fillId="0" borderId="0" applyNumberFormat="0" applyFill="0" applyBorder="0" applyAlignment="0" applyProtection="0"/>
    <xf numFmtId="0" fontId="227" fillId="0" borderId="0" applyNumberFormat="0" applyFill="0" applyBorder="0" applyAlignment="0" applyProtection="0"/>
    <xf numFmtId="174" fontId="228" fillId="0" borderId="0" applyNumberFormat="0" applyFill="0" applyBorder="0" applyAlignment="0" applyProtection="0"/>
    <xf numFmtId="40" fontId="111" fillId="0" borderId="0">
      <alignment horizontal="left" wrapText="1"/>
    </xf>
    <xf numFmtId="1" fontId="160" fillId="69" borderId="0">
      <alignment horizontal="right" vertical="center"/>
    </xf>
    <xf numFmtId="1" fontId="229" fillId="69" borderId="0">
      <alignment horizontal="right" vertical="center"/>
    </xf>
    <xf numFmtId="0" fontId="111" fillId="0" borderId="0" applyNumberFormat="0" applyFill="0" applyBorder="0" applyAlignment="0" applyProtection="0"/>
    <xf numFmtId="0" fontId="90" fillId="0" borderId="0"/>
    <xf numFmtId="9" fontId="90" fillId="0" borderId="0" applyFont="0" applyFill="0" applyBorder="0" applyAlignment="0" applyProtection="0"/>
    <xf numFmtId="167" fontId="90" fillId="0" borderId="0" applyFont="0" applyFill="0" applyBorder="0" applyAlignment="0" applyProtection="0"/>
    <xf numFmtId="0" fontId="90" fillId="0" borderId="0"/>
    <xf numFmtId="0" fontId="231" fillId="89" borderId="0"/>
    <xf numFmtId="43" fontId="90" fillId="0" borderId="0" applyFont="0" applyFill="0" applyBorder="0" applyAlignment="0" applyProtection="0"/>
    <xf numFmtId="0" fontId="90" fillId="0" borderId="0"/>
    <xf numFmtId="167" fontId="232" fillId="0" borderId="0" applyFont="0" applyFill="0" applyBorder="0" applyAlignment="0" applyProtection="0"/>
    <xf numFmtId="0" fontId="177" fillId="0" borderId="0" applyNumberFormat="0" applyFill="0" applyBorder="0" applyAlignment="0" applyProtection="0">
      <alignment vertical="top"/>
      <protection locked="0"/>
    </xf>
    <xf numFmtId="0" fontId="108" fillId="0" borderId="0"/>
    <xf numFmtId="0" fontId="89" fillId="0" borderId="0"/>
    <xf numFmtId="0" fontId="89" fillId="0" borderId="0"/>
    <xf numFmtId="167" fontId="108" fillId="0" borderId="0" applyFont="0" applyFill="0" applyBorder="0" applyAlignment="0" applyProtection="0"/>
    <xf numFmtId="232" fontId="111" fillId="0" borderId="0" applyFont="0" applyFill="0" applyBorder="0" applyAlignment="0" applyProtection="0"/>
    <xf numFmtId="177" fontId="111" fillId="0" borderId="0" applyFont="0" applyFill="0" applyBorder="0" applyAlignment="0" applyProtection="0"/>
    <xf numFmtId="166" fontId="111" fillId="0" borderId="0" applyFont="0" applyFill="0" applyBorder="0" applyAlignment="0" applyProtection="0"/>
    <xf numFmtId="233" fontId="111" fillId="0" borderId="0" applyFont="0" applyFill="0" applyBorder="0" applyAlignment="0" applyProtection="0"/>
    <xf numFmtId="234" fontId="111" fillId="0" borderId="0" applyFont="0" applyFill="0" applyBorder="0" applyAlignment="0" applyProtection="0"/>
    <xf numFmtId="235" fontId="111" fillId="0" borderId="0" applyFont="0" applyFill="0" applyBorder="0" applyAlignment="0" applyProtection="0"/>
    <xf numFmtId="236" fontId="111" fillId="0" borderId="0" applyFont="0" applyFill="0" applyBorder="0" applyAlignment="0" applyProtection="0"/>
    <xf numFmtId="15" fontId="193" fillId="0" borderId="46" applyFont="0" applyFill="0" applyBorder="0" applyAlignment="0" applyProtection="0"/>
    <xf numFmtId="0" fontId="236" fillId="0" borderId="0"/>
    <xf numFmtId="37" fontId="237" fillId="0" borderId="0"/>
    <xf numFmtId="0" fontId="88" fillId="0" borderId="0"/>
    <xf numFmtId="165" fontId="88" fillId="0" borderId="0" applyFont="0" applyFill="0" applyBorder="0" applyAlignment="0" applyProtection="0"/>
    <xf numFmtId="0" fontId="87" fillId="0" borderId="0"/>
    <xf numFmtId="165" fontId="87" fillId="0" borderId="0" applyFont="0" applyFill="0" applyBorder="0" applyAlignment="0" applyProtection="0"/>
    <xf numFmtId="0" fontId="86" fillId="0" borderId="0"/>
    <xf numFmtId="0" fontId="86" fillId="0" borderId="0"/>
    <xf numFmtId="9" fontId="108" fillId="0" borderId="0" applyFont="0" applyFill="0" applyBorder="0" applyAlignment="0" applyProtection="0"/>
    <xf numFmtId="0" fontId="85" fillId="0" borderId="0"/>
    <xf numFmtId="0" fontId="166" fillId="0" borderId="35" applyNumberFormat="0" applyFill="0" applyAlignment="0" applyProtection="0"/>
    <xf numFmtId="167" fontId="108" fillId="0" borderId="0" applyFont="0" applyFill="0" applyBorder="0" applyAlignment="0" applyProtection="0"/>
    <xf numFmtId="0" fontId="84" fillId="0" borderId="0"/>
    <xf numFmtId="165" fontId="83" fillId="0" borderId="0" applyFont="0" applyFill="0" applyBorder="0" applyAlignment="0" applyProtection="0"/>
    <xf numFmtId="0" fontId="111" fillId="0" borderId="0"/>
    <xf numFmtId="0" fontId="82" fillId="0" borderId="0"/>
    <xf numFmtId="0" fontId="258" fillId="0" borderId="0" applyNumberFormat="0" applyFill="0" applyBorder="0">
      <alignment vertical="center"/>
    </xf>
    <xf numFmtId="167" fontId="258" fillId="0" borderId="0" applyFont="0" applyFill="0" applyBorder="0" applyAlignment="0" applyProtection="0"/>
    <xf numFmtId="165" fontId="81" fillId="0" borderId="0" applyFont="0" applyFill="0" applyBorder="0" applyAlignment="0" applyProtection="0"/>
    <xf numFmtId="165" fontId="80" fillId="0" borderId="0" applyFont="0" applyFill="0" applyBorder="0" applyAlignment="0" applyProtection="0"/>
    <xf numFmtId="0" fontId="80" fillId="0" borderId="0"/>
    <xf numFmtId="0" fontId="79" fillId="0" borderId="0"/>
    <xf numFmtId="0" fontId="78" fillId="0" borderId="0"/>
    <xf numFmtId="0" fontId="78" fillId="0" borderId="0"/>
    <xf numFmtId="0" fontId="77" fillId="0" borderId="0"/>
    <xf numFmtId="165" fontId="76" fillId="0" borderId="0" applyFont="0" applyFill="0" applyBorder="0" applyAlignment="0" applyProtection="0"/>
    <xf numFmtId="0" fontId="76" fillId="0" borderId="0"/>
    <xf numFmtId="0" fontId="76" fillId="0" borderId="0"/>
    <xf numFmtId="241" fontId="76" fillId="0" borderId="0" applyFont="0" applyFill="0" applyBorder="0" applyAlignment="0" applyProtection="0"/>
    <xf numFmtId="167" fontId="76" fillId="0" borderId="0" applyFont="0" applyFill="0" applyBorder="0" applyAlignment="0" applyProtection="0"/>
    <xf numFmtId="0" fontId="76" fillId="0" borderId="0"/>
    <xf numFmtId="241" fontId="76"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0" fontId="75" fillId="0" borderId="0"/>
    <xf numFmtId="0" fontId="75" fillId="0" borderId="0"/>
    <xf numFmtId="43" fontId="75" fillId="0" borderId="0" applyFont="0" applyFill="0" applyBorder="0" applyAlignment="0" applyProtection="0"/>
    <xf numFmtId="0" fontId="74" fillId="0" borderId="0"/>
    <xf numFmtId="241"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0" fontId="74" fillId="0" borderId="0"/>
    <xf numFmtId="241" fontId="74" fillId="0" borderId="0" applyFont="0" applyFill="0" applyBorder="0" applyAlignment="0" applyProtection="0"/>
    <xf numFmtId="241" fontId="74" fillId="0" borderId="0" applyFont="0" applyFill="0" applyBorder="0" applyAlignment="0" applyProtection="0"/>
    <xf numFmtId="165" fontId="74" fillId="0" borderId="0" applyFont="0" applyFill="0" applyBorder="0" applyAlignment="0" applyProtection="0"/>
    <xf numFmtId="43" fontId="74" fillId="0" borderId="0" applyFont="0" applyFill="0" applyBorder="0" applyAlignment="0" applyProtection="0"/>
    <xf numFmtId="0" fontId="73" fillId="0" borderId="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1" fillId="0" borderId="0"/>
    <xf numFmtId="0" fontId="70" fillId="0" borderId="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0" fontId="69" fillId="0" borderId="0"/>
    <xf numFmtId="241" fontId="69" fillId="0" borderId="0" applyFont="0" applyFill="0" applyBorder="0" applyAlignment="0" applyProtection="0"/>
    <xf numFmtId="167" fontId="69" fillId="0" borderId="0" applyFont="0" applyFill="0" applyBorder="0" applyAlignment="0" applyProtection="0"/>
    <xf numFmtId="0" fontId="69" fillId="0" borderId="0"/>
    <xf numFmtId="0" fontId="69" fillId="0" borderId="0"/>
    <xf numFmtId="241" fontId="69" fillId="0" borderId="0" applyFont="0" applyFill="0" applyBorder="0" applyAlignment="0" applyProtection="0"/>
    <xf numFmtId="241" fontId="69" fillId="0" borderId="0" applyFont="0" applyFill="0" applyBorder="0" applyAlignment="0" applyProtection="0"/>
    <xf numFmtId="165" fontId="69" fillId="0" borderId="0" applyFont="0" applyFill="0" applyBorder="0" applyAlignment="0" applyProtection="0"/>
    <xf numFmtId="43" fontId="69" fillId="0" borderId="0" applyFont="0" applyFill="0" applyBorder="0" applyAlignment="0" applyProtection="0"/>
    <xf numFmtId="0" fontId="68" fillId="0" borderId="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0" fontId="67" fillId="0" borderId="0"/>
    <xf numFmtId="241" fontId="67" fillId="0" borderId="0" applyFont="0" applyFill="0" applyBorder="0" applyAlignment="0" applyProtection="0"/>
    <xf numFmtId="167" fontId="67" fillId="0" borderId="0" applyFont="0" applyFill="0" applyBorder="0" applyAlignment="0" applyProtection="0"/>
    <xf numFmtId="0" fontId="66" fillId="0" borderId="0"/>
    <xf numFmtId="241" fontId="66" fillId="0" borderId="0" applyFont="0" applyFill="0" applyBorder="0" applyAlignment="0" applyProtection="0"/>
    <xf numFmtId="165" fontId="66" fillId="0" borderId="0" applyFont="0" applyFill="0" applyBorder="0" applyAlignment="0" applyProtection="0"/>
    <xf numFmtId="167" fontId="66" fillId="0" borderId="0" applyFont="0" applyFill="0" applyBorder="0" applyAlignment="0" applyProtection="0"/>
    <xf numFmtId="0" fontId="66" fillId="0" borderId="0"/>
    <xf numFmtId="241" fontId="66" fillId="0" borderId="0" applyFont="0" applyFill="0" applyBorder="0" applyAlignment="0" applyProtection="0"/>
    <xf numFmtId="241" fontId="66" fillId="0" borderId="0" applyFont="0" applyFill="0" applyBorder="0" applyAlignment="0" applyProtection="0"/>
    <xf numFmtId="165" fontId="66" fillId="0" borderId="0" applyFont="0" applyFill="0" applyBorder="0" applyAlignment="0" applyProtection="0"/>
    <xf numFmtId="43"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0" fontId="65" fillId="0" borderId="0"/>
    <xf numFmtId="0" fontId="65" fillId="0" borderId="0"/>
    <xf numFmtId="241" fontId="65" fillId="0" borderId="0" applyFont="0" applyFill="0" applyBorder="0" applyAlignment="0" applyProtection="0"/>
    <xf numFmtId="43" fontId="65" fillId="0" borderId="0" applyFont="0" applyFill="0" applyBorder="0" applyAlignment="0" applyProtection="0"/>
    <xf numFmtId="0" fontId="65" fillId="0" borderId="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0" fontId="64" fillId="0" borderId="0"/>
    <xf numFmtId="241" fontId="64" fillId="0" borderId="0" applyFont="0" applyFill="0" applyBorder="0" applyAlignment="0" applyProtection="0"/>
    <xf numFmtId="43" fontId="64" fillId="0" borderId="0" applyFont="0" applyFill="0" applyBorder="0" applyAlignment="0" applyProtection="0"/>
    <xf numFmtId="0" fontId="63" fillId="0" borderId="0"/>
    <xf numFmtId="9" fontId="63"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242" fontId="263" fillId="94" borderId="59" applyAlignment="0" applyProtection="0">
      <alignment horizontal="left" vertical="center" indent="1"/>
    </xf>
    <xf numFmtId="243"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241" fontId="62"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165" fontId="61" fillId="0" borderId="0" applyFont="0" applyFill="0" applyBorder="0" applyAlignment="0" applyProtection="0"/>
    <xf numFmtId="243"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0" fontId="60" fillId="0" borderId="0"/>
    <xf numFmtId="241" fontId="60" fillId="0" borderId="0" applyFont="0" applyFill="0" applyBorder="0" applyAlignment="0" applyProtection="0"/>
    <xf numFmtId="0" fontId="60" fillId="0" borderId="0"/>
    <xf numFmtId="43" fontId="60" fillId="0" borderId="0" applyFont="0" applyFill="0" applyBorder="0" applyAlignment="0" applyProtection="0"/>
    <xf numFmtId="165" fontId="60" fillId="0" borderId="0" applyFont="0" applyFill="0" applyBorder="0" applyAlignment="0" applyProtection="0"/>
    <xf numFmtId="0" fontId="59" fillId="0" borderId="0"/>
    <xf numFmtId="9" fontId="59" fillId="0" borderId="0" applyFont="0" applyFill="0" applyBorder="0" applyAlignment="0" applyProtection="0"/>
    <xf numFmtId="0" fontId="111" fillId="0" borderId="0"/>
    <xf numFmtId="0" fontId="58" fillId="0" borderId="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9" fontId="58" fillId="0" borderId="0" applyFont="0" applyFill="0" applyBorder="0" applyAlignment="0" applyProtection="0"/>
    <xf numFmtId="0" fontId="57" fillId="0" borderId="0"/>
    <xf numFmtId="9"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243" fontId="57" fillId="0" borderId="0" applyFont="0" applyFill="0" applyBorder="0" applyAlignment="0" applyProtection="0"/>
    <xf numFmtId="241" fontId="57" fillId="0" borderId="0" applyFont="0" applyFill="0" applyBorder="0" applyAlignment="0" applyProtection="0"/>
    <xf numFmtId="0" fontId="57" fillId="0" borderId="0"/>
    <xf numFmtId="241" fontId="57" fillId="0" borderId="0" applyFont="0" applyFill="0" applyBorder="0" applyAlignment="0" applyProtection="0"/>
    <xf numFmtId="0" fontId="57" fillId="0" borderId="0"/>
    <xf numFmtId="43" fontId="57" fillId="0" borderId="0" applyFont="0" applyFill="0" applyBorder="0" applyAlignment="0" applyProtection="0"/>
    <xf numFmtId="0" fontId="56" fillId="0" borderId="0"/>
    <xf numFmtId="9" fontId="56" fillId="0" borderId="0" applyFont="0" applyFill="0" applyBorder="0" applyAlignment="0" applyProtection="0"/>
    <xf numFmtId="0" fontId="55" fillId="0" borderId="0"/>
    <xf numFmtId="241" fontId="55" fillId="0" borderId="0" applyFont="0" applyFill="0" applyBorder="0" applyAlignment="0" applyProtection="0"/>
    <xf numFmtId="0" fontId="54" fillId="0" borderId="0"/>
    <xf numFmtId="241" fontId="54"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0" fontId="51" fillId="0" borderId="0"/>
    <xf numFmtId="9"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0" fontId="51" fillId="0" borderId="0"/>
    <xf numFmtId="241" fontId="51" fillId="0" borderId="0" applyFont="0" applyFill="0" applyBorder="0" applyAlignment="0" applyProtection="0"/>
    <xf numFmtId="43" fontId="51" fillId="0" borderId="0" applyFont="0" applyFill="0" applyBorder="0" applyAlignment="0" applyProtection="0"/>
    <xf numFmtId="0" fontId="50" fillId="0" borderId="0"/>
    <xf numFmtId="165" fontId="49" fillId="0" borderId="0" applyFont="0" applyFill="0" applyBorder="0" applyAlignment="0" applyProtection="0"/>
    <xf numFmtId="165" fontId="49" fillId="0" borderId="0" applyFont="0" applyFill="0" applyBorder="0" applyAlignment="0" applyProtection="0"/>
    <xf numFmtId="0" fontId="48" fillId="0" borderId="0"/>
    <xf numFmtId="241" fontId="48" fillId="0" borderId="0" applyFont="0" applyFill="0" applyBorder="0" applyAlignment="0" applyProtection="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241" fontId="46" fillId="0" borderId="0" applyFont="0" applyFill="0" applyBorder="0" applyAlignment="0" applyProtection="0"/>
    <xf numFmtId="43" fontId="46" fillId="0" borderId="0" applyFont="0" applyFill="0" applyBorder="0" applyAlignment="0" applyProtection="0"/>
    <xf numFmtId="0" fontId="45" fillId="0" borderId="0"/>
    <xf numFmtId="241" fontId="45"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4" fillId="0" borderId="0"/>
    <xf numFmtId="241" fontId="44" fillId="0" borderId="0" applyFont="0" applyFill="0" applyBorder="0" applyAlignment="0" applyProtection="0"/>
    <xf numFmtId="43" fontId="44" fillId="0" borderId="0" applyFont="0" applyFill="0" applyBorder="0" applyAlignment="0" applyProtection="0"/>
    <xf numFmtId="0" fontId="43" fillId="0" borderId="0"/>
    <xf numFmtId="43" fontId="43"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xf numFmtId="165" fontId="42" fillId="0" borderId="0" applyFont="0" applyFill="0" applyBorder="0" applyAlignment="0" applyProtection="0"/>
    <xf numFmtId="165" fontId="42" fillId="0" borderId="0" applyFont="0" applyFill="0" applyBorder="0" applyAlignment="0" applyProtection="0"/>
    <xf numFmtId="43" fontId="108" fillId="0" borderId="0" applyFont="0" applyFill="0" applyBorder="0" applyAlignment="0" applyProtection="0"/>
    <xf numFmtId="9" fontId="42" fillId="0" borderId="0" applyFont="0" applyFill="0" applyBorder="0" applyAlignment="0" applyProtection="0"/>
    <xf numFmtId="0" fontId="41" fillId="0" borderId="0"/>
    <xf numFmtId="241" fontId="41" fillId="0" borderId="0" applyFont="0" applyFill="0" applyBorder="0" applyAlignment="0" applyProtection="0"/>
    <xf numFmtId="43" fontId="41" fillId="0" borderId="0" applyFont="0" applyFill="0" applyBorder="0" applyAlignment="0" applyProtection="0"/>
    <xf numFmtId="41" fontId="41" fillId="0" borderId="0" applyFont="0" applyFill="0" applyBorder="0" applyAlignment="0" applyProtection="0"/>
    <xf numFmtId="165" fontId="41" fillId="0" borderId="0" applyFont="0" applyFill="0" applyBorder="0" applyAlignment="0" applyProtection="0"/>
    <xf numFmtId="0" fontId="40" fillId="0" borderId="0"/>
    <xf numFmtId="165" fontId="40"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0" fontId="39" fillId="0" borderId="0"/>
    <xf numFmtId="165" fontId="39" fillId="0" borderId="0" applyFont="0" applyFill="0" applyBorder="0" applyAlignment="0" applyProtection="0"/>
    <xf numFmtId="165" fontId="39" fillId="0" borderId="0" applyFont="0" applyFill="0" applyBorder="0" applyAlignment="0" applyProtection="0"/>
    <xf numFmtId="9" fontId="39" fillId="0" borderId="0" applyFont="0" applyFill="0" applyBorder="0" applyAlignment="0" applyProtection="0"/>
    <xf numFmtId="0" fontId="39" fillId="0" borderId="0"/>
    <xf numFmtId="241" fontId="39" fillId="0" borderId="0" applyFont="0" applyFill="0" applyBorder="0" applyAlignment="0" applyProtection="0"/>
    <xf numFmtId="43" fontId="39" fillId="0" borderId="0" applyFont="0" applyFill="0" applyBorder="0" applyAlignment="0" applyProtection="0"/>
    <xf numFmtId="41" fontId="39" fillId="0" borderId="0" applyFont="0" applyFill="0" applyBorder="0" applyAlignment="0" applyProtection="0"/>
    <xf numFmtId="0"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9" fontId="38" fillId="0" borderId="0" applyFont="0" applyFill="0" applyBorder="0" applyAlignment="0" applyProtection="0"/>
    <xf numFmtId="0" fontId="38" fillId="0" borderId="0"/>
    <xf numFmtId="241"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241"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9" fontId="37" fillId="0" borderId="0" applyFont="0" applyFill="0" applyBorder="0" applyAlignment="0" applyProtection="0"/>
    <xf numFmtId="0" fontId="36" fillId="0" borderId="0"/>
    <xf numFmtId="241"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0" fontId="35" fillId="0" borderId="0"/>
    <xf numFmtId="43" fontId="3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165" fontId="34" fillId="0" borderId="0" applyFont="0" applyFill="0" applyBorder="0" applyAlignment="0" applyProtection="0"/>
    <xf numFmtId="165" fontId="34" fillId="0" borderId="0" applyFont="0" applyFill="0" applyBorder="0" applyAlignment="0" applyProtection="0"/>
    <xf numFmtId="0" fontId="34" fillId="0" borderId="0"/>
    <xf numFmtId="241" fontId="34"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0" fontId="32" fillId="0" borderId="0"/>
    <xf numFmtId="43" fontId="111" fillId="0" borderId="0" applyFont="0" applyFill="0" applyBorder="0" applyAlignment="0" applyProtection="0"/>
    <xf numFmtId="9" fontId="32" fillId="0" borderId="0" applyFont="0" applyFill="0" applyBorder="0" applyAlignment="0" applyProtection="0"/>
    <xf numFmtId="0" fontId="31" fillId="0" borderId="0"/>
    <xf numFmtId="241"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0" fontId="27" fillId="0" borderId="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0" fontId="111" fillId="0" borderId="0"/>
    <xf numFmtId="41" fontId="111" fillId="0" borderId="0" applyFont="0" applyFill="0" applyBorder="0" applyAlignment="0" applyProtection="0"/>
    <xf numFmtId="165" fontId="27" fillId="0" borderId="0" applyFont="0" applyFill="0" applyBorder="0" applyAlignment="0" applyProtection="0"/>
    <xf numFmtId="41"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241" fontId="27" fillId="0" borderId="0" applyFont="0" applyFill="0" applyBorder="0" applyAlignment="0" applyProtection="0"/>
    <xf numFmtId="43" fontId="2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0" fontId="25" fillId="0" borderId="0"/>
    <xf numFmtId="165" fontId="25" fillId="0" borderId="0" applyFont="0" applyFill="0" applyBorder="0" applyAlignment="0" applyProtection="0"/>
    <xf numFmtId="0" fontId="24" fillId="0" borderId="0"/>
    <xf numFmtId="165" fontId="24" fillId="0" borderId="0" applyFont="0" applyFill="0" applyBorder="0" applyAlignment="0" applyProtection="0"/>
    <xf numFmtId="0" fontId="23" fillId="0" borderId="0"/>
    <xf numFmtId="165" fontId="23" fillId="0" borderId="0" applyFont="0" applyFill="0" applyBorder="0" applyAlignment="0" applyProtection="0"/>
    <xf numFmtId="41" fontId="267"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1" fontId="22" fillId="0" borderId="0" applyFont="0" applyFill="0" applyBorder="0" applyAlignment="0" applyProtection="0"/>
    <xf numFmtId="0" fontId="22" fillId="0" borderId="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241"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241" fontId="1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1"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241" fontId="18" fillId="0" borderId="0" applyFont="0" applyFill="0" applyBorder="0" applyAlignment="0" applyProtection="0"/>
    <xf numFmtId="43" fontId="18"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0" fontId="17" fillId="0" borderId="0"/>
    <xf numFmtId="0" fontId="16" fillId="0" borderId="0"/>
    <xf numFmtId="241"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0" fontId="13" fillId="0" borderId="0"/>
    <xf numFmtId="9" fontId="13" fillId="0" borderId="0" applyFont="0" applyFill="0" applyBorder="0" applyAlignment="0" applyProtection="0"/>
    <xf numFmtId="0" fontId="12" fillId="0" borderId="0"/>
    <xf numFmtId="241"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8" fillId="0" borderId="0"/>
    <xf numFmtId="0" fontId="8" fillId="0" borderId="0"/>
    <xf numFmtId="41"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1" fontId="7" fillId="0" borderId="0" applyFont="0" applyFill="0" applyBorder="0" applyAlignment="0" applyProtection="0"/>
    <xf numFmtId="0" fontId="7" fillId="0" borderId="0"/>
    <xf numFmtId="43" fontId="7" fillId="0" borderId="0" applyFont="0" applyFill="0" applyBorder="0" applyAlignment="0" applyProtection="0"/>
    <xf numFmtId="41" fontId="6" fillId="0" borderId="0" applyFont="0" applyFill="0" applyBorder="0" applyAlignment="0" applyProtection="0"/>
    <xf numFmtId="0" fontId="6" fillId="0" borderId="0"/>
    <xf numFmtId="43" fontId="6" fillId="0" borderId="0" applyFont="0" applyFill="0" applyBorder="0" applyAlignment="0" applyProtection="0"/>
    <xf numFmtId="41"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43" fontId="2"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5" fontId="130" fillId="0" borderId="16" applyAlignment="0" applyProtection="0"/>
    <xf numFmtId="8" fontId="111" fillId="0" borderId="21" applyFont="0" applyFill="0" applyBorder="0" applyProtection="0">
      <alignment horizontal="right"/>
    </xf>
    <xf numFmtId="8" fontId="111" fillId="0" borderId="24">
      <protection locked="0"/>
    </xf>
    <xf numFmtId="7" fontId="123" fillId="0" borderId="0"/>
    <xf numFmtId="7" fontId="123" fillId="0" borderId="0"/>
    <xf numFmtId="8" fontId="123" fillId="0" borderId="0"/>
    <xf numFmtId="8" fontId="123"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08" fillId="0" borderId="0" applyFont="0" applyFill="0" applyBorder="0" applyAlignment="0" applyProtection="0"/>
    <xf numFmtId="43" fontId="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8" fontId="1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11" fillId="0" borderId="0" applyFont="0" applyFill="0" applyBorder="0" applyAlignment="0" applyProtection="0"/>
    <xf numFmtId="0" fontId="1" fillId="0" borderId="0"/>
    <xf numFmtId="0" fontId="1" fillId="0" borderId="0"/>
    <xf numFmtId="43" fontId="108"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6" fontId="130" fillId="0" borderId="16" applyAlignment="0" applyProtection="0"/>
    <xf numFmtId="248" fontId="111" fillId="0" borderId="21" applyFont="0" applyFill="0" applyBorder="0" applyProtection="0">
      <alignment horizontal="right"/>
    </xf>
    <xf numFmtId="248" fontId="111" fillId="0" borderId="24">
      <protection locked="0"/>
    </xf>
    <xf numFmtId="247" fontId="123" fillId="0" borderId="0"/>
    <xf numFmtId="247" fontId="123" fillId="0" borderId="0"/>
    <xf numFmtId="248" fontId="123" fillId="0" borderId="0"/>
    <xf numFmtId="248" fontId="123" fillId="0" borderId="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10" fillId="0" borderId="0" applyFont="0" applyFill="0" applyBorder="0" applyAlignment="0" applyProtection="0"/>
    <xf numFmtId="243" fontId="110" fillId="0" borderId="0" applyFont="0" applyFill="0" applyBorder="0" applyAlignment="0" applyProtection="0"/>
    <xf numFmtId="243" fontId="108" fillId="0" borderId="0" applyFont="0" applyFill="0" applyBorder="0" applyAlignment="0" applyProtection="0"/>
    <xf numFmtId="243" fontId="1"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11" fillId="0" borderId="0" applyFont="0" applyFill="0" applyBorder="0" applyAlignment="0" applyProtection="0"/>
    <xf numFmtId="248" fontId="1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3" fontId="111" fillId="0" borderId="0" applyFont="0" applyFill="0" applyBorder="0" applyAlignment="0" applyProtection="0"/>
    <xf numFmtId="0" fontId="1" fillId="0" borderId="0"/>
    <xf numFmtId="0" fontId="1" fillId="0" borderId="0"/>
    <xf numFmtId="0" fontId="1" fillId="0" borderId="0"/>
    <xf numFmtId="0" fontId="1" fillId="0" borderId="0"/>
    <xf numFmtId="243" fontId="111" fillId="0" borderId="0" applyFont="0" applyFill="0" applyBorder="0" applyAlignment="0" applyProtection="0"/>
    <xf numFmtId="243" fontId="111" fillId="0" borderId="0" applyFont="0" applyFill="0" applyBorder="0" applyAlignment="0" applyProtection="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243" fontId="111" fillId="0" borderId="0" applyFont="0" applyFill="0" applyBorder="0" applyAlignment="0" applyProtection="0"/>
    <xf numFmtId="0" fontId="1" fillId="0" borderId="0"/>
    <xf numFmtId="0" fontId="1" fillId="0" borderId="0"/>
    <xf numFmtId="243" fontId="108"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243" fontId="111" fillId="0" borderId="0" applyFont="0" applyFill="0" applyBorder="0" applyAlignment="0" applyProtection="0"/>
    <xf numFmtId="243" fontId="111" fillId="0" borderId="0" applyFont="0" applyFill="0" applyBorder="0" applyAlignment="0" applyProtection="0"/>
    <xf numFmtId="243" fontId="11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169" fontId="263" fillId="98" borderId="72" applyProtection="0">
      <alignment horizontal="right" vertical="center" wrapText="1"/>
    </xf>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263" fillId="97" borderId="71">
      <alignment horizontal="center" vertical="center"/>
    </xf>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0" fillId="0" borderId="0" applyFont="0" applyFill="0" applyBorder="0" applyAlignment="0" applyProtection="0"/>
    <xf numFmtId="165" fontId="110" fillId="0" borderId="0" applyFont="0" applyFill="0" applyBorder="0" applyAlignment="0" applyProtection="0"/>
    <xf numFmtId="165" fontId="108" fillId="0" borderId="0" applyFont="0" applyFill="0" applyBorder="0" applyAlignment="0" applyProtection="0"/>
    <xf numFmtId="165" fontId="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11" fillId="0" borderId="0" applyFont="0" applyFill="0" applyBorder="0" applyAlignment="0" applyProtection="0"/>
    <xf numFmtId="0" fontId="1" fillId="0" borderId="0"/>
    <xf numFmtId="0" fontId="1" fillId="0" borderId="0"/>
    <xf numFmtId="165" fontId="108"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43"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5" fontId="130" fillId="0" borderId="16" applyAlignment="0" applyProtection="0"/>
    <xf numFmtId="8" fontId="111" fillId="0" borderId="21" applyFont="0" applyFill="0" applyBorder="0" applyProtection="0">
      <alignment horizontal="right"/>
    </xf>
    <xf numFmtId="8" fontId="111" fillId="0" borderId="24">
      <protection locked="0"/>
    </xf>
    <xf numFmtId="7" fontId="123" fillId="0" borderId="0"/>
    <xf numFmtId="7" fontId="123" fillId="0" borderId="0"/>
    <xf numFmtId="8" fontId="123" fillId="0" borderId="0"/>
    <xf numFmtId="8" fontId="123" fillId="0" borderId="0"/>
    <xf numFmtId="165" fontId="1" fillId="0" borderId="0" applyFont="0" applyFill="0" applyBorder="0" applyAlignment="0" applyProtection="0"/>
    <xf numFmtId="165" fontId="111" fillId="0" borderId="0" applyFont="0" applyFill="0" applyBorder="0" applyAlignment="0" applyProtection="0"/>
    <xf numFmtId="8" fontId="1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1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1" fillId="0" borderId="0"/>
    <xf numFmtId="164"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0" fontId="111" fillId="0" borderId="0"/>
    <xf numFmtId="165"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1" fillId="0" borderId="0" applyFont="0" applyFill="0" applyBorder="0" applyAlignment="0" applyProtection="0"/>
    <xf numFmtId="164"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0" fillId="0" borderId="0" applyFont="0" applyFill="0" applyBorder="0" applyAlignment="0" applyProtection="0"/>
    <xf numFmtId="165" fontId="110" fillId="0" borderId="0" applyFont="0" applyFill="0" applyBorder="0" applyAlignment="0" applyProtection="0"/>
    <xf numFmtId="165" fontId="108" fillId="0" borderId="0" applyFont="0" applyFill="0" applyBorder="0" applyAlignment="0" applyProtection="0"/>
    <xf numFmtId="165" fontId="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1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1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08" fillId="0" borderId="0" applyFont="0" applyFill="0" applyBorder="0" applyAlignment="0" applyProtection="0"/>
    <xf numFmtId="43" fontId="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11" fillId="0" borderId="0" applyFont="0" applyFill="0" applyBorder="0" applyAlignment="0" applyProtection="0"/>
    <xf numFmtId="0" fontId="1" fillId="0" borderId="0"/>
    <xf numFmtId="0" fontId="1" fillId="0" borderId="0"/>
    <xf numFmtId="43" fontId="108"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43"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5" fontId="130" fillId="0" borderId="16" applyAlignment="0" applyProtection="0"/>
    <xf numFmtId="8" fontId="111" fillId="0" borderId="21" applyFont="0" applyFill="0" applyBorder="0" applyProtection="0">
      <alignment horizontal="right"/>
    </xf>
    <xf numFmtId="8" fontId="111" fillId="0" borderId="24">
      <protection locked="0"/>
    </xf>
    <xf numFmtId="7" fontId="123" fillId="0" borderId="0"/>
    <xf numFmtId="7" fontId="123" fillId="0" borderId="0"/>
    <xf numFmtId="8" fontId="123" fillId="0" borderId="0"/>
    <xf numFmtId="8" fontId="123" fillId="0" borderId="0"/>
    <xf numFmtId="165" fontId="1" fillId="0" borderId="0" applyFont="0" applyFill="0" applyBorder="0" applyAlignment="0" applyProtection="0"/>
    <xf numFmtId="8" fontId="1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266" fillId="0" borderId="0"/>
    <xf numFmtId="4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1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1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43"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5" fontId="130" fillId="0" borderId="16" applyAlignment="0" applyProtection="0"/>
    <xf numFmtId="8" fontId="111" fillId="0" borderId="21" applyFont="0" applyFill="0" applyBorder="0" applyProtection="0">
      <alignment horizontal="right"/>
    </xf>
    <xf numFmtId="8" fontId="111" fillId="0" borderId="24">
      <protection locked="0"/>
    </xf>
    <xf numFmtId="7" fontId="123" fillId="0" borderId="0"/>
    <xf numFmtId="7" fontId="123" fillId="0" borderId="0"/>
    <xf numFmtId="8" fontId="123" fillId="0" borderId="0"/>
    <xf numFmtId="8" fontId="123" fillId="0" borderId="0"/>
    <xf numFmtId="165" fontId="1" fillId="0" borderId="0" applyFont="0" applyFill="0" applyBorder="0" applyAlignment="0" applyProtection="0"/>
    <xf numFmtId="8" fontId="1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1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08" fillId="0" borderId="0" applyFont="0" applyFill="0" applyBorder="0" applyAlignment="0" applyProtection="0"/>
    <xf numFmtId="43" fontId="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11" fillId="0" borderId="0" applyFont="0" applyFill="0" applyBorder="0" applyAlignment="0" applyProtection="0"/>
    <xf numFmtId="0" fontId="1" fillId="0" borderId="0"/>
    <xf numFmtId="0" fontId="1" fillId="0" borderId="0"/>
    <xf numFmtId="43" fontId="108"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43"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5" fontId="130" fillId="0" borderId="16" applyAlignment="0" applyProtection="0"/>
    <xf numFmtId="8" fontId="111" fillId="0" borderId="21" applyFont="0" applyFill="0" applyBorder="0" applyProtection="0">
      <alignment horizontal="right"/>
    </xf>
    <xf numFmtId="8" fontId="111" fillId="0" borderId="24">
      <protection locked="0"/>
    </xf>
    <xf numFmtId="7" fontId="123" fillId="0" borderId="0"/>
    <xf numFmtId="7" fontId="123" fillId="0" borderId="0"/>
    <xf numFmtId="8" fontId="123" fillId="0" borderId="0"/>
    <xf numFmtId="8" fontId="123" fillId="0" borderId="0"/>
    <xf numFmtId="165" fontId="1" fillId="0" borderId="0" applyFont="0" applyFill="0" applyBorder="0" applyAlignment="0" applyProtection="0"/>
    <xf numFmtId="8" fontId="1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266" fillId="0" borderId="0"/>
  </cellStyleXfs>
  <cellXfs count="395">
    <xf numFmtId="0" fontId="0" fillId="0" borderId="0" xfId="0"/>
    <xf numFmtId="0" fontId="110" fillId="0" borderId="0" xfId="2" applyFont="1" applyAlignment="1">
      <alignment vertical="center" wrapText="1"/>
    </xf>
    <xf numFmtId="0" fontId="109" fillId="0" borderId="0" xfId="2" applyFont="1" applyAlignment="1">
      <alignment vertical="center" wrapText="1"/>
    </xf>
    <xf numFmtId="37" fontId="230" fillId="0" borderId="0" xfId="2" applyNumberFormat="1" applyFont="1" applyAlignment="1">
      <alignment vertical="center" wrapText="1"/>
    </xf>
    <xf numFmtId="37" fontId="110" fillId="0" borderId="0" xfId="2" applyNumberFormat="1" applyFont="1" applyAlignment="1">
      <alignment vertical="center" wrapText="1"/>
    </xf>
    <xf numFmtId="3" fontId="109" fillId="0" borderId="0" xfId="2" applyNumberFormat="1" applyFont="1" applyAlignment="1">
      <alignment vertical="center" wrapText="1"/>
    </xf>
    <xf numFmtId="37" fontId="109" fillId="0" borderId="0" xfId="2" applyNumberFormat="1" applyFont="1" applyAlignment="1">
      <alignment vertical="center" wrapText="1"/>
    </xf>
    <xf numFmtId="0" fontId="114" fillId="0" borderId="0" xfId="2" applyFont="1" applyAlignment="1">
      <alignment vertical="center" wrapText="1"/>
    </xf>
    <xf numFmtId="0" fontId="110" fillId="0" borderId="0" xfId="2" applyFont="1" applyAlignment="1">
      <alignment horizontal="left" vertical="center" wrapText="1" indent="1"/>
    </xf>
    <xf numFmtId="231" fontId="110" fillId="0" borderId="0" xfId="2" applyNumberFormat="1" applyFont="1" applyAlignment="1">
      <alignment vertical="center" wrapText="1"/>
    </xf>
    <xf numFmtId="0" fontId="111" fillId="0" borderId="0" xfId="3" applyAlignment="1">
      <alignment horizontal="right" vertical="center" wrapText="1"/>
    </xf>
    <xf numFmtId="0" fontId="111" fillId="0" borderId="0" xfId="3" applyAlignment="1">
      <alignment horizontal="left" vertical="center" wrapText="1"/>
    </xf>
    <xf numFmtId="0" fontId="110" fillId="0" borderId="0" xfId="3" applyFont="1" applyAlignment="1" applyProtection="1">
      <alignment horizontal="left" vertical="center" wrapText="1"/>
      <protection locked="0"/>
    </xf>
    <xf numFmtId="0" fontId="110" fillId="0" borderId="13" xfId="3" applyFont="1" applyBorder="1" applyAlignment="1" applyProtection="1">
      <alignment horizontal="left"/>
      <protection locked="0"/>
    </xf>
    <xf numFmtId="3" fontId="111" fillId="0" borderId="0" xfId="3" applyNumberFormat="1" applyAlignment="1">
      <alignment horizontal="left" vertical="center" wrapText="1"/>
    </xf>
    <xf numFmtId="0" fontId="110" fillId="0" borderId="0" xfId="3" applyFont="1" applyAlignment="1" applyProtection="1">
      <alignment horizontal="left"/>
      <protection locked="0"/>
    </xf>
    <xf numFmtId="0" fontId="230" fillId="0" borderId="0" xfId="2" applyFont="1" applyAlignment="1">
      <alignment vertical="center" wrapText="1"/>
    </xf>
    <xf numFmtId="3" fontId="240" fillId="0" borderId="0" xfId="2" applyNumberFormat="1" applyFont="1" applyAlignment="1">
      <alignment horizontal="right" vertical="center" wrapText="1"/>
    </xf>
    <xf numFmtId="237" fontId="111" fillId="0" borderId="0" xfId="403" applyNumberFormat="1" applyFont="1" applyBorder="1" applyAlignment="1">
      <alignment horizontal="right" vertical="center" wrapText="1"/>
    </xf>
    <xf numFmtId="0" fontId="110" fillId="0" borderId="0" xfId="2" applyFont="1" applyAlignment="1">
      <alignment horizontal="right" vertical="center" wrapText="1"/>
    </xf>
    <xf numFmtId="0" fontId="111" fillId="0" borderId="0" xfId="3" applyAlignment="1">
      <alignment vertical="center" wrapText="1"/>
    </xf>
    <xf numFmtId="198" fontId="242" fillId="0" borderId="0" xfId="456" applyNumberFormat="1" applyFont="1" applyFill="1" applyBorder="1"/>
    <xf numFmtId="3" fontId="111" fillId="0" borderId="0" xfId="3" applyNumberFormat="1" applyAlignment="1">
      <alignment horizontal="right" vertical="center" wrapText="1"/>
    </xf>
    <xf numFmtId="0" fontId="111" fillId="0" borderId="0" xfId="592" applyProtection="1">
      <protection locked="0"/>
    </xf>
    <xf numFmtId="0" fontId="176" fillId="0" borderId="0" xfId="3" applyFont="1" applyAlignment="1">
      <alignment horizontal="left" vertical="center" wrapText="1"/>
    </xf>
    <xf numFmtId="3" fontId="176" fillId="0" borderId="0" xfId="3" applyNumberFormat="1" applyFont="1" applyAlignment="1">
      <alignment horizontal="right" vertical="center" wrapText="1"/>
    </xf>
    <xf numFmtId="230" fontId="176" fillId="0" borderId="0" xfId="1" applyNumberFormat="1" applyFont="1" applyFill="1" applyBorder="1" applyAlignment="1">
      <alignment horizontal="right" vertical="center" wrapText="1"/>
    </xf>
    <xf numFmtId="0" fontId="176" fillId="0" borderId="0" xfId="3" applyFont="1" applyAlignment="1">
      <alignment horizontal="center" vertical="center" wrapText="1"/>
    </xf>
    <xf numFmtId="167" fontId="111" fillId="0" borderId="0" xfId="922" applyFont="1" applyBorder="1" applyAlignment="1">
      <alignment horizontal="left" vertical="center" wrapText="1"/>
    </xf>
    <xf numFmtId="231" fontId="111" fillId="0" borderId="0" xfId="922" applyNumberFormat="1" applyFont="1" applyFill="1" applyBorder="1" applyAlignment="1">
      <alignment horizontal="right" vertical="center" wrapText="1"/>
    </xf>
    <xf numFmtId="231" fontId="111" fillId="0" borderId="0" xfId="922" applyNumberFormat="1" applyFont="1" applyBorder="1" applyAlignment="1">
      <alignment horizontal="right" vertical="center" wrapText="1"/>
    </xf>
    <xf numFmtId="0" fontId="243" fillId="0" borderId="0" xfId="592" applyFont="1"/>
    <xf numFmtId="231" fontId="244" fillId="0" borderId="0" xfId="403" applyNumberFormat="1" applyFont="1" applyFill="1" applyBorder="1"/>
    <xf numFmtId="0" fontId="244" fillId="0" borderId="0" xfId="592" applyFont="1"/>
    <xf numFmtId="231" fontId="243" fillId="0" borderId="0" xfId="403" applyNumberFormat="1" applyFont="1" applyFill="1" applyBorder="1" applyAlignment="1">
      <alignment horizontal="center"/>
    </xf>
    <xf numFmtId="231" fontId="243" fillId="0" borderId="0" xfId="403" quotePrefix="1" applyNumberFormat="1" applyFont="1" applyFill="1" applyBorder="1" applyAlignment="1">
      <alignment horizontal="center"/>
    </xf>
    <xf numFmtId="231" fontId="243" fillId="0" borderId="0" xfId="403" applyNumberFormat="1" applyFont="1" applyFill="1" applyBorder="1"/>
    <xf numFmtId="0" fontId="176" fillId="91" borderId="0" xfId="3" applyFont="1" applyFill="1" applyAlignment="1">
      <alignment horizontal="left" vertical="center" wrapText="1"/>
    </xf>
    <xf numFmtId="231" fontId="176" fillId="91" borderId="0" xfId="922" applyNumberFormat="1" applyFont="1" applyFill="1" applyBorder="1" applyAlignment="1">
      <alignment horizontal="right" vertical="center" wrapText="1"/>
    </xf>
    <xf numFmtId="0" fontId="111" fillId="91" borderId="0" xfId="3" applyFill="1" applyAlignment="1">
      <alignment horizontal="left" vertical="center" wrapText="1"/>
    </xf>
    <xf numFmtId="3" fontId="176" fillId="91" borderId="0" xfId="3" applyNumberFormat="1" applyFont="1" applyFill="1" applyAlignment="1">
      <alignment horizontal="right" vertical="center" wrapText="1"/>
    </xf>
    <xf numFmtId="0" fontId="245" fillId="91" borderId="0" xfId="3" applyFont="1" applyFill="1" applyAlignment="1">
      <alignment horizontal="left" vertical="center" wrapText="1"/>
    </xf>
    <xf numFmtId="3" fontId="245" fillId="91" borderId="0" xfId="3" applyNumberFormat="1" applyFont="1" applyFill="1" applyAlignment="1">
      <alignment horizontal="right" vertical="center" wrapText="1"/>
    </xf>
    <xf numFmtId="0" fontId="230" fillId="91" borderId="0" xfId="3" applyFont="1" applyFill="1" applyAlignment="1">
      <alignment horizontal="left" vertical="center" wrapText="1"/>
    </xf>
    <xf numFmtId="3" fontId="111" fillId="0" borderId="0" xfId="2" applyNumberFormat="1" applyFont="1" applyAlignment="1">
      <alignment horizontal="right" vertical="center" wrapText="1"/>
    </xf>
    <xf numFmtId="3" fontId="110" fillId="0" borderId="0" xfId="2" applyNumberFormat="1" applyFont="1" applyAlignment="1">
      <alignment horizontal="right" vertical="center" wrapText="1"/>
    </xf>
    <xf numFmtId="169" fontId="114" fillId="0" borderId="0" xfId="1" applyNumberFormat="1" applyFont="1" applyFill="1" applyBorder="1" applyAlignment="1">
      <alignment horizontal="right" vertical="center" wrapText="1"/>
    </xf>
    <xf numFmtId="169" fontId="239" fillId="0" borderId="0" xfId="1" applyNumberFormat="1" applyFont="1" applyFill="1" applyBorder="1" applyAlignment="1">
      <alignment horizontal="right" vertical="center" wrapText="1"/>
    </xf>
    <xf numFmtId="37" fontId="109" fillId="0" borderId="0" xfId="2" applyNumberFormat="1" applyFont="1" applyAlignment="1">
      <alignment horizontal="right" vertical="center" wrapText="1"/>
    </xf>
    <xf numFmtId="169" fontId="114" fillId="0" borderId="0" xfId="1" applyNumberFormat="1" applyFont="1" applyFill="1" applyBorder="1" applyAlignment="1">
      <alignment vertical="center" wrapText="1"/>
    </xf>
    <xf numFmtId="231" fontId="109" fillId="0" borderId="0" xfId="922" applyNumberFormat="1" applyFont="1" applyFill="1" applyBorder="1" applyAlignment="1">
      <alignment vertical="center" wrapText="1"/>
    </xf>
    <xf numFmtId="0" fontId="111" fillId="0" borderId="0" xfId="2" applyFont="1" applyAlignment="1">
      <alignment horizontal="left" vertical="center" wrapText="1" indent="1"/>
    </xf>
    <xf numFmtId="231" fontId="110" fillId="0" borderId="0" xfId="922" applyNumberFormat="1" applyFont="1" applyFill="1" applyBorder="1" applyAlignment="1">
      <alignment vertical="center" wrapText="1"/>
    </xf>
    <xf numFmtId="0" fontId="111" fillId="34" borderId="0" xfId="4" applyFill="1" applyAlignment="1">
      <alignment horizontal="left" vertical="center" indent="1"/>
    </xf>
    <xf numFmtId="167" fontId="110" fillId="0" borderId="0" xfId="543" applyFont="1" applyFill="1" applyBorder="1" applyAlignment="1">
      <alignment vertical="center" wrapText="1"/>
    </xf>
    <xf numFmtId="0" fontId="109" fillId="91" borderId="0" xfId="2" applyFont="1" applyFill="1" applyAlignment="1">
      <alignment vertical="center" wrapText="1"/>
    </xf>
    <xf numFmtId="169" fontId="114" fillId="91" borderId="0" xfId="1" applyNumberFormat="1" applyFont="1" applyFill="1" applyBorder="1" applyAlignment="1">
      <alignment vertical="center" wrapText="1"/>
    </xf>
    <xf numFmtId="0" fontId="109" fillId="91" borderId="0" xfId="2" applyFont="1" applyFill="1" applyAlignment="1">
      <alignment horizontal="left" vertical="center" wrapText="1"/>
    </xf>
    <xf numFmtId="231" fontId="109" fillId="0" borderId="0" xfId="922" applyNumberFormat="1" applyFont="1" applyFill="1" applyBorder="1" applyAlignment="1">
      <alignment horizontal="right" vertical="center" wrapText="1"/>
    </xf>
    <xf numFmtId="231" fontId="176" fillId="0" borderId="0" xfId="922" applyNumberFormat="1" applyFont="1" applyFill="1" applyBorder="1" applyAlignment="1">
      <alignment horizontal="right" vertical="center" wrapText="1"/>
    </xf>
    <xf numFmtId="0" fontId="245" fillId="0" borderId="0" xfId="2" applyFont="1" applyAlignment="1">
      <alignment vertical="center" wrapText="1"/>
    </xf>
    <xf numFmtId="231" fontId="245" fillId="0" borderId="0" xfId="922" applyNumberFormat="1" applyFont="1" applyFill="1" applyBorder="1" applyAlignment="1">
      <alignment horizontal="right" vertical="center" wrapText="1"/>
    </xf>
    <xf numFmtId="231" fontId="110" fillId="0" borderId="0" xfId="922" applyNumberFormat="1" applyFont="1" applyFill="1" applyBorder="1" applyAlignment="1">
      <alignment horizontal="right" vertical="center" wrapText="1"/>
    </xf>
    <xf numFmtId="37" fontId="176" fillId="0" borderId="0" xfId="2" applyNumberFormat="1" applyFont="1" applyAlignment="1">
      <alignment horizontal="right" vertical="center" wrapText="1"/>
    </xf>
    <xf numFmtId="0" fontId="246" fillId="0" borderId="0" xfId="2" applyFont="1" applyAlignment="1">
      <alignment vertical="center" wrapText="1"/>
    </xf>
    <xf numFmtId="9" fontId="246" fillId="0" borderId="0" xfId="1" applyFont="1" applyFill="1" applyBorder="1" applyAlignment="1">
      <alignment horizontal="right" vertical="center" wrapText="1"/>
    </xf>
    <xf numFmtId="37" fontId="245" fillId="0" borderId="0" xfId="2" applyNumberFormat="1" applyFont="1" applyAlignment="1">
      <alignment horizontal="right" vertical="center" wrapText="1"/>
    </xf>
    <xf numFmtId="37" fontId="238" fillId="0" borderId="0" xfId="2" applyNumberFormat="1" applyFont="1" applyAlignment="1">
      <alignment horizontal="right" vertical="center" wrapText="1"/>
    </xf>
    <xf numFmtId="37" fontId="230" fillId="0" borderId="0" xfId="2" applyNumberFormat="1" applyFont="1" applyAlignment="1">
      <alignment horizontal="right" vertical="center" wrapText="1"/>
    </xf>
    <xf numFmtId="39" fontId="230" fillId="0" borderId="0" xfId="2" applyNumberFormat="1" applyFont="1" applyAlignment="1">
      <alignment horizontal="right" vertical="center" wrapText="1"/>
    </xf>
    <xf numFmtId="231" fontId="109" fillId="0" borderId="0" xfId="2" applyNumberFormat="1" applyFont="1" applyAlignment="1">
      <alignment vertical="center" wrapText="1"/>
    </xf>
    <xf numFmtId="231" fontId="109" fillId="0" borderId="0" xfId="2" applyNumberFormat="1" applyFont="1" applyAlignment="1">
      <alignment horizontal="right" vertical="center" wrapText="1"/>
    </xf>
    <xf numFmtId="0" fontId="109" fillId="0" borderId="0" xfId="2" applyFont="1" applyAlignment="1">
      <alignment horizontal="right" vertical="center" wrapText="1"/>
    </xf>
    <xf numFmtId="231" fontId="110" fillId="0" borderId="0" xfId="2" applyNumberFormat="1" applyFont="1" applyAlignment="1">
      <alignment horizontal="right" vertical="center" wrapText="1"/>
    </xf>
    <xf numFmtId="231" fontId="110" fillId="0" borderId="0" xfId="922" applyNumberFormat="1" applyFont="1" applyBorder="1" applyAlignment="1">
      <alignment horizontal="right" vertical="center" wrapText="1"/>
    </xf>
    <xf numFmtId="0" fontId="110" fillId="91" borderId="0" xfId="2" applyFont="1" applyFill="1" applyAlignment="1">
      <alignment horizontal="right" vertical="center" wrapText="1"/>
    </xf>
    <xf numFmtId="0" fontId="245" fillId="91" borderId="0" xfId="2" applyFont="1" applyFill="1" applyAlignment="1">
      <alignment vertical="center" wrapText="1"/>
    </xf>
    <xf numFmtId="231" fontId="245" fillId="91" borderId="0" xfId="922" applyNumberFormat="1" applyFont="1" applyFill="1" applyBorder="1" applyAlignment="1">
      <alignment horizontal="right" vertical="center" wrapText="1"/>
    </xf>
    <xf numFmtId="0" fontId="241" fillId="0" borderId="0" xfId="2" applyFont="1" applyAlignment="1">
      <alignment vertical="center" wrapText="1"/>
    </xf>
    <xf numFmtId="9" fontId="241" fillId="0" borderId="0" xfId="1" applyFont="1" applyFill="1" applyBorder="1" applyAlignment="1">
      <alignment horizontal="right" vertical="center" wrapText="1"/>
    </xf>
    <xf numFmtId="0" fontId="111" fillId="0" borderId="0" xfId="2" applyFont="1" applyAlignment="1">
      <alignment horizontal="right" vertical="center" wrapText="1"/>
    </xf>
    <xf numFmtId="3" fontId="109" fillId="91" borderId="0" xfId="2" applyNumberFormat="1" applyFont="1" applyFill="1" applyAlignment="1">
      <alignment horizontal="right" vertical="center" wrapText="1"/>
    </xf>
    <xf numFmtId="0" fontId="245" fillId="91" borderId="0" xfId="2" applyFont="1" applyFill="1" applyAlignment="1">
      <alignment horizontal="left" vertical="center" wrapText="1"/>
    </xf>
    <xf numFmtId="3" fontId="245" fillId="91" borderId="0" xfId="2" applyNumberFormat="1" applyFont="1" applyFill="1" applyAlignment="1">
      <alignment horizontal="right" vertical="center" wrapText="1"/>
    </xf>
    <xf numFmtId="0" fontId="241" fillId="91" borderId="0" xfId="2" applyFont="1" applyFill="1" applyAlignment="1">
      <alignment horizontal="left" vertical="center" wrapText="1" indent="1"/>
    </xf>
    <xf numFmtId="9" fontId="241" fillId="91" borderId="0" xfId="1" applyFont="1" applyFill="1" applyBorder="1" applyAlignment="1">
      <alignment horizontal="right" vertical="center" wrapText="1"/>
    </xf>
    <xf numFmtId="0" fontId="111" fillId="91" borderId="0" xfId="2" applyFont="1" applyFill="1" applyAlignment="1">
      <alignment horizontal="right" vertical="center" wrapText="1"/>
    </xf>
    <xf numFmtId="0" fontId="176" fillId="91" borderId="0" xfId="4" applyFont="1" applyFill="1" applyAlignment="1">
      <alignment horizontal="left" vertical="center" indent="1"/>
    </xf>
    <xf numFmtId="231" fontId="233" fillId="91" borderId="0" xfId="922" applyNumberFormat="1" applyFont="1" applyFill="1" applyBorder="1" applyAlignment="1">
      <alignment horizontal="right" vertical="center" wrapText="1"/>
    </xf>
    <xf numFmtId="0" fontId="245" fillId="91" borderId="0" xfId="4" applyFont="1" applyFill="1" applyAlignment="1">
      <alignment horizontal="left" vertical="center" indent="1"/>
    </xf>
    <xf numFmtId="0" fontId="241" fillId="91" borderId="0" xfId="2" applyFont="1" applyFill="1" applyAlignment="1">
      <alignment vertical="center" wrapText="1"/>
    </xf>
    <xf numFmtId="231" fontId="0" fillId="0" borderId="0" xfId="488" applyNumberFormat="1" applyFont="1" applyFill="1"/>
    <xf numFmtId="198" fontId="250" fillId="0" borderId="0" xfId="381" applyNumberFormat="1" applyFont="1"/>
    <xf numFmtId="231" fontId="111" fillId="0" borderId="0" xfId="488" applyNumberFormat="1" applyFont="1" applyFill="1"/>
    <xf numFmtId="198" fontId="249" fillId="0" borderId="22" xfId="381" applyNumberFormat="1" applyFont="1" applyBorder="1"/>
    <xf numFmtId="169" fontId="108" fillId="0" borderId="0" xfId="944" applyNumberFormat="1" applyFont="1" applyFill="1"/>
    <xf numFmtId="167" fontId="108" fillId="0" borderId="0" xfId="381" applyNumberFormat="1" applyFont="1" applyFill="1"/>
    <xf numFmtId="239" fontId="109" fillId="0" borderId="22" xfId="2" applyNumberFormat="1" applyFont="1" applyBorder="1" applyAlignment="1">
      <alignment vertical="center" wrapText="1"/>
    </xf>
    <xf numFmtId="231" fontId="108" fillId="0" borderId="0" xfId="488" applyNumberFormat="1" applyFont="1" applyFill="1"/>
    <xf numFmtId="198" fontId="108" fillId="0" borderId="0" xfId="381" applyNumberFormat="1" applyFont="1" applyFill="1"/>
    <xf numFmtId="9" fontId="108" fillId="0" borderId="0" xfId="944" applyFont="1" applyFill="1"/>
    <xf numFmtId="231" fontId="249" fillId="0" borderId="57" xfId="488" applyNumberFormat="1" applyFont="1" applyFill="1" applyBorder="1"/>
    <xf numFmtId="169" fontId="108" fillId="0" borderId="0" xfId="944" applyNumberFormat="1" applyFont="1"/>
    <xf numFmtId="198" fontId="249" fillId="0" borderId="0" xfId="381" applyNumberFormat="1" applyFont="1"/>
    <xf numFmtId="198" fontId="108" fillId="0" borderId="0" xfId="381" applyNumberFormat="1" applyFont="1"/>
    <xf numFmtId="177" fontId="108" fillId="0" borderId="0" xfId="381" applyFont="1"/>
    <xf numFmtId="177" fontId="108" fillId="0" borderId="0" xfId="381" applyFont="1" applyFill="1"/>
    <xf numFmtId="177" fontId="249" fillId="0" borderId="0" xfId="381" applyFont="1" applyFill="1"/>
    <xf numFmtId="177" fontId="0" fillId="0" borderId="0" xfId="381" applyFont="1" applyFill="1"/>
    <xf numFmtId="198" fontId="253" fillId="90" borderId="0" xfId="381" applyNumberFormat="1" applyFont="1" applyFill="1"/>
    <xf numFmtId="231" fontId="111" fillId="0" borderId="0" xfId="922" applyNumberFormat="1" applyFont="1" applyAlignment="1">
      <alignment horizontal="left" vertical="center" wrapText="1"/>
    </xf>
    <xf numFmtId="231" fontId="111" fillId="0" borderId="0" xfId="922" applyNumberFormat="1" applyFont="1" applyFill="1" applyAlignment="1">
      <alignment horizontal="left" vertical="center" wrapText="1"/>
    </xf>
    <xf numFmtId="167" fontId="111" fillId="0" borderId="0" xfId="922" applyFont="1" applyBorder="1" applyAlignment="1">
      <alignment horizontal="right" vertical="center" wrapText="1"/>
    </xf>
    <xf numFmtId="167" fontId="111" fillId="0" borderId="0" xfId="922" applyFont="1" applyFill="1" applyBorder="1" applyAlignment="1">
      <alignment horizontal="left" vertical="center" wrapText="1"/>
    </xf>
    <xf numFmtId="167" fontId="111" fillId="0" borderId="0" xfId="922" applyFont="1" applyAlignment="1">
      <alignment horizontal="left" vertical="center" wrapText="1"/>
    </xf>
    <xf numFmtId="231" fontId="111" fillId="0" borderId="0" xfId="543" applyNumberFormat="1" applyFont="1" applyFill="1" applyAlignment="1">
      <alignment horizontal="right" vertical="center" wrapText="1"/>
    </xf>
    <xf numFmtId="231" fontId="111" fillId="0" borderId="0" xfId="543" applyNumberFormat="1" applyFont="1" applyAlignment="1">
      <alignment horizontal="left" vertical="center" wrapText="1"/>
    </xf>
    <xf numFmtId="231" fontId="111" fillId="0" borderId="0" xfId="543" applyNumberFormat="1" applyFont="1" applyAlignment="1">
      <alignment horizontal="right" vertical="center" wrapText="1"/>
    </xf>
    <xf numFmtId="231" fontId="111" fillId="0" borderId="0" xfId="543" applyNumberFormat="1" applyFont="1" applyFill="1" applyAlignment="1">
      <alignment horizontal="left" vertical="center" wrapText="1"/>
    </xf>
    <xf numFmtId="17" fontId="112" fillId="0" borderId="0" xfId="3" applyNumberFormat="1" applyFont="1" applyAlignment="1">
      <alignment horizontal="center" vertical="center" wrapText="1"/>
    </xf>
    <xf numFmtId="17" fontId="112" fillId="33" borderId="56" xfId="3" applyNumberFormat="1" applyFont="1" applyFill="1" applyBorder="1" applyAlignment="1">
      <alignment horizontal="center" vertical="center" wrapText="1"/>
    </xf>
    <xf numFmtId="231" fontId="109" fillId="0" borderId="0" xfId="543" applyNumberFormat="1" applyFont="1" applyFill="1" applyBorder="1" applyAlignment="1">
      <alignment vertical="center" wrapText="1"/>
    </xf>
    <xf numFmtId="231" fontId="110" fillId="0" borderId="0" xfId="543" applyNumberFormat="1" applyFont="1" applyAlignment="1">
      <alignment vertical="center" wrapText="1"/>
    </xf>
    <xf numFmtId="231" fontId="110" fillId="0" borderId="0" xfId="543" applyNumberFormat="1" applyFont="1" applyFill="1" applyBorder="1" applyAlignment="1">
      <alignment vertical="center" wrapText="1"/>
    </xf>
    <xf numFmtId="231" fontId="110" fillId="0" borderId="0" xfId="543" applyNumberFormat="1" applyFont="1" applyFill="1" applyAlignment="1">
      <alignment vertical="center" wrapText="1"/>
    </xf>
    <xf numFmtId="231" fontId="108" fillId="45" borderId="0" xfId="488" applyNumberFormat="1" applyFont="1" applyFill="1"/>
    <xf numFmtId="231" fontId="230" fillId="0" borderId="0" xfId="488" applyNumberFormat="1" applyFont="1" applyFill="1"/>
    <xf numFmtId="231" fontId="253" fillId="90" borderId="0" xfId="381" applyNumberFormat="1" applyFont="1" applyFill="1"/>
    <xf numFmtId="0" fontId="111" fillId="0" borderId="0" xfId="0" applyFont="1" applyAlignment="1" applyProtection="1">
      <alignment horizontal="left"/>
      <protection locked="0"/>
    </xf>
    <xf numFmtId="0" fontId="111" fillId="0" borderId="0" xfId="4" applyAlignment="1">
      <alignment horizontal="left" vertical="center" indent="1"/>
    </xf>
    <xf numFmtId="231" fontId="110" fillId="0" borderId="0" xfId="543" applyNumberFormat="1" applyFont="1" applyFill="1" applyBorder="1" applyAlignment="1">
      <alignment horizontal="right" vertical="center" wrapText="1"/>
    </xf>
    <xf numFmtId="167" fontId="110" fillId="0" borderId="0" xfId="543" applyFont="1" applyAlignment="1">
      <alignment vertical="center" wrapText="1"/>
    </xf>
    <xf numFmtId="49" fontId="247" fillId="33" borderId="58" xfId="3" applyNumberFormat="1" applyFont="1" applyFill="1" applyBorder="1" applyAlignment="1">
      <alignment horizontal="center" vertical="center" wrapText="1"/>
    </xf>
    <xf numFmtId="0" fontId="111" fillId="0" borderId="0" xfId="3" applyAlignment="1">
      <alignment horizontal="center" vertical="center" wrapText="1"/>
    </xf>
    <xf numFmtId="49" fontId="247" fillId="0" borderId="0" xfId="3" applyNumberFormat="1" applyFont="1" applyAlignment="1">
      <alignment horizontal="center" vertical="center" wrapText="1"/>
    </xf>
    <xf numFmtId="0" fontId="110" fillId="0" borderId="0" xfId="2" applyFont="1" applyAlignment="1">
      <alignment vertical="center"/>
    </xf>
    <xf numFmtId="3" fontId="245" fillId="0" borderId="0" xfId="3" applyNumberFormat="1" applyFont="1" applyAlignment="1">
      <alignment horizontal="right" vertical="center" wrapText="1"/>
    </xf>
    <xf numFmtId="167" fontId="111" fillId="0" borderId="0" xfId="922" applyFont="1" applyFill="1" applyAlignment="1">
      <alignment horizontal="left" vertical="center" wrapText="1"/>
    </xf>
    <xf numFmtId="0" fontId="110" fillId="0" borderId="0" xfId="2" applyFont="1" applyAlignment="1">
      <alignment horizontal="center" vertical="center" wrapText="1"/>
    </xf>
    <xf numFmtId="17" fontId="112" fillId="33" borderId="10" xfId="3" applyNumberFormat="1" applyFont="1" applyFill="1" applyBorder="1" applyAlignment="1">
      <alignment horizontal="center" vertical="center" wrapText="1"/>
    </xf>
    <xf numFmtId="231" fontId="111" fillId="0" borderId="0" xfId="922" applyNumberFormat="1" applyFont="1" applyFill="1" applyBorder="1" applyAlignment="1">
      <alignment horizontal="right" vertical="center"/>
    </xf>
    <xf numFmtId="0" fontId="111" fillId="0" borderId="0" xfId="2" applyFont="1" applyAlignment="1">
      <alignment horizontal="right" vertical="center"/>
    </xf>
    <xf numFmtId="0" fontId="110" fillId="0" borderId="0" xfId="2" applyFont="1"/>
    <xf numFmtId="231" fontId="123" fillId="0" borderId="0" xfId="488" applyNumberFormat="1" applyFont="1" applyFill="1"/>
    <xf numFmtId="231" fontId="261" fillId="0" borderId="0" xfId="488" applyNumberFormat="1" applyFont="1" applyFill="1"/>
    <xf numFmtId="198" fontId="260" fillId="0" borderId="0" xfId="381" applyNumberFormat="1" applyFont="1"/>
    <xf numFmtId="169" fontId="262" fillId="0" borderId="0" xfId="944" applyNumberFormat="1" applyFont="1" applyFill="1"/>
    <xf numFmtId="198" fontId="123" fillId="0" borderId="0" xfId="381" applyNumberFormat="1" applyFont="1" applyFill="1"/>
    <xf numFmtId="198" fontId="104" fillId="90" borderId="0" xfId="381" applyNumberFormat="1" applyFont="1" applyFill="1"/>
    <xf numFmtId="37" fontId="111" fillId="0" borderId="0" xfId="2" applyNumberFormat="1" applyFont="1" applyAlignment="1">
      <alignment horizontal="right" vertical="center" wrapText="1"/>
    </xf>
    <xf numFmtId="237" fontId="111" fillId="0" borderId="0" xfId="403" applyNumberFormat="1" applyFont="1" applyFill="1" applyBorder="1" applyAlignment="1">
      <alignment horizontal="right" vertical="center" wrapText="1"/>
    </xf>
    <xf numFmtId="17" fontId="112" fillId="33" borderId="0" xfId="3" applyNumberFormat="1" applyFont="1" applyFill="1" applyAlignment="1">
      <alignment horizontal="center" vertical="center" wrapText="1"/>
    </xf>
    <xf numFmtId="177" fontId="249" fillId="45" borderId="22" xfId="381" applyFont="1" applyFill="1" applyBorder="1"/>
    <xf numFmtId="231" fontId="111" fillId="0" borderId="0" xfId="543" applyNumberFormat="1" applyFont="1" applyFill="1" applyBorder="1" applyAlignment="1">
      <alignment horizontal="right" vertical="center" wrapText="1"/>
    </xf>
    <xf numFmtId="0" fontId="248" fillId="63" borderId="0" xfId="1047" applyFont="1" applyFill="1"/>
    <xf numFmtId="0" fontId="62" fillId="63" borderId="0" xfId="1047" applyFill="1"/>
    <xf numFmtId="0" fontId="62" fillId="0" borderId="0" xfId="1047"/>
    <xf numFmtId="198" fontId="62" fillId="0" borderId="0" xfId="381" applyNumberFormat="1" applyFont="1"/>
    <xf numFmtId="0" fontId="249" fillId="0" borderId="22" xfId="1047" applyFont="1" applyBorder="1"/>
    <xf numFmtId="17" fontId="249" fillId="0" borderId="0" xfId="1047" applyNumberFormat="1" applyFont="1"/>
    <xf numFmtId="17" fontId="249" fillId="0" borderId="0" xfId="1047" applyNumberFormat="1" applyFont="1" applyAlignment="1">
      <alignment horizontal="right" wrapText="1"/>
    </xf>
    <xf numFmtId="0" fontId="62" fillId="45" borderId="0" xfId="1047" applyFill="1"/>
    <xf numFmtId="3" fontId="123" fillId="0" borderId="0" xfId="0" applyNumberFormat="1" applyFont="1"/>
    <xf numFmtId="167" fontId="62" fillId="0" borderId="0" xfId="1047" applyNumberFormat="1"/>
    <xf numFmtId="177" fontId="62" fillId="0" borderId="0" xfId="381" applyFont="1"/>
    <xf numFmtId="1" fontId="62" fillId="0" borderId="0" xfId="1047" applyNumberFormat="1"/>
    <xf numFmtId="0" fontId="249" fillId="0" borderId="0" xfId="1047" applyFont="1"/>
    <xf numFmtId="1" fontId="260" fillId="0" borderId="0" xfId="1047" applyNumberFormat="1" applyFont="1"/>
    <xf numFmtId="238" fontId="62" fillId="0" borderId="0" xfId="1047" applyNumberFormat="1"/>
    <xf numFmtId="0" fontId="251" fillId="0" borderId="0" xfId="1047" applyFont="1"/>
    <xf numFmtId="0" fontId="260" fillId="0" borderId="0" xfId="1047" applyFont="1"/>
    <xf numFmtId="0" fontId="252" fillId="45" borderId="25" xfId="0" applyFont="1" applyFill="1" applyBorder="1" applyAlignment="1">
      <alignment horizontal="center"/>
    </xf>
    <xf numFmtId="198" fontId="62" fillId="0" borderId="0" xfId="381" applyNumberFormat="1" applyFont="1" applyFill="1"/>
    <xf numFmtId="3" fontId="62" fillId="0" borderId="0" xfId="1047" applyNumberFormat="1"/>
    <xf numFmtId="231" fontId="62" fillId="0" borderId="0" xfId="1047" applyNumberFormat="1"/>
    <xf numFmtId="168" fontId="62" fillId="0" borderId="0" xfId="1047" applyNumberFormat="1"/>
    <xf numFmtId="3" fontId="254" fillId="0" borderId="0" xfId="1047" applyNumberFormat="1" applyFont="1"/>
    <xf numFmtId="0" fontId="255" fillId="0" borderId="0" xfId="1047" applyFont="1"/>
    <xf numFmtId="0" fontId="227" fillId="0" borderId="0" xfId="1047" applyFont="1"/>
    <xf numFmtId="3" fontId="254" fillId="83" borderId="0" xfId="1047" applyNumberFormat="1" applyFont="1" applyFill="1"/>
    <xf numFmtId="1" fontId="256" fillId="83" borderId="0" xfId="1047" applyNumberFormat="1" applyFont="1" applyFill="1"/>
    <xf numFmtId="3" fontId="242" fillId="0" borderId="0" xfId="1047" applyNumberFormat="1" applyFont="1"/>
    <xf numFmtId="240" fontId="62" fillId="0" borderId="0" xfId="1047" applyNumberFormat="1"/>
    <xf numFmtId="3" fontId="249" fillId="83" borderId="0" xfId="1047" applyNumberFormat="1" applyFont="1" applyFill="1"/>
    <xf numFmtId="4" fontId="62" fillId="0" borderId="0" xfId="1047" applyNumberFormat="1"/>
    <xf numFmtId="17" fontId="249" fillId="0" borderId="0" xfId="1047" applyNumberFormat="1" applyFont="1" applyAlignment="1">
      <alignment wrapText="1"/>
    </xf>
    <xf numFmtId="0" fontId="257" fillId="0" borderId="0" xfId="1047" applyFont="1"/>
    <xf numFmtId="3" fontId="0" fillId="0" borderId="0" xfId="0" applyNumberFormat="1"/>
    <xf numFmtId="17" fontId="249" fillId="0" borderId="0" xfId="1047" applyNumberFormat="1" applyFont="1" applyAlignment="1">
      <alignment horizontal="center" wrapText="1"/>
    </xf>
    <xf numFmtId="1" fontId="249" fillId="45" borderId="22" xfId="1047" applyNumberFormat="1" applyFont="1" applyFill="1" applyBorder="1"/>
    <xf numFmtId="198" fontId="62" fillId="0" borderId="0" xfId="1047" applyNumberFormat="1"/>
    <xf numFmtId="231" fontId="104" fillId="0" borderId="0" xfId="1047" applyNumberFormat="1" applyFont="1"/>
    <xf numFmtId="231" fontId="259" fillId="0" borderId="0" xfId="1047" applyNumberFormat="1" applyFont="1"/>
    <xf numFmtId="9" fontId="227" fillId="0" borderId="0" xfId="1047" applyNumberFormat="1" applyFont="1"/>
    <xf numFmtId="167" fontId="111" fillId="0" borderId="0" xfId="543" applyFont="1" applyFill="1" applyBorder="1" applyAlignment="1">
      <alignment horizontal="right" vertical="center" wrapText="1"/>
    </xf>
    <xf numFmtId="231" fontId="111" fillId="93" borderId="0" xfId="543" applyNumberFormat="1" applyFont="1" applyFill="1" applyBorder="1" applyAlignment="1">
      <alignment horizontal="right" vertical="center" wrapText="1"/>
    </xf>
    <xf numFmtId="231" fontId="111" fillId="0" borderId="0" xfId="543" applyNumberFormat="1" applyFont="1" applyBorder="1" applyAlignment="1">
      <alignment horizontal="right" vertical="center" wrapText="1"/>
    </xf>
    <xf numFmtId="167" fontId="111" fillId="0" borderId="0" xfId="543" applyFont="1" applyBorder="1" applyAlignment="1">
      <alignment horizontal="right" vertical="center" wrapText="1"/>
    </xf>
    <xf numFmtId="231" fontId="109" fillId="91" borderId="0" xfId="543" applyNumberFormat="1" applyFont="1" applyFill="1" applyBorder="1" applyAlignment="1">
      <alignment vertical="center" wrapText="1"/>
    </xf>
    <xf numFmtId="3" fontId="110" fillId="0" borderId="0" xfId="2" applyNumberFormat="1" applyFont="1" applyAlignment="1">
      <alignment vertical="center" wrapText="1"/>
    </xf>
    <xf numFmtId="49" fontId="247" fillId="33" borderId="56" xfId="3" applyNumberFormat="1" applyFont="1" applyFill="1" applyBorder="1" applyAlignment="1">
      <alignment horizontal="center" vertical="center" wrapText="1"/>
    </xf>
    <xf numFmtId="0" fontId="0" fillId="0" borderId="0" xfId="0" applyAlignment="1">
      <alignment vertical="center" wrapText="1"/>
    </xf>
    <xf numFmtId="3" fontId="109" fillId="0" borderId="0" xfId="2" applyNumberFormat="1" applyFont="1" applyAlignment="1">
      <alignment horizontal="right" vertical="center" wrapText="1"/>
    </xf>
    <xf numFmtId="3" fontId="245" fillId="0" borderId="0" xfId="2" applyNumberFormat="1" applyFont="1" applyAlignment="1">
      <alignment horizontal="right" vertical="center" wrapText="1"/>
    </xf>
    <xf numFmtId="231" fontId="233" fillId="0" borderId="0" xfId="922" applyNumberFormat="1" applyFont="1" applyFill="1" applyBorder="1" applyAlignment="1">
      <alignment horizontal="right" vertical="center" wrapText="1"/>
    </xf>
    <xf numFmtId="49" fontId="247" fillId="33" borderId="0" xfId="3" applyNumberFormat="1" applyFont="1" applyFill="1" applyAlignment="1">
      <alignment horizontal="center" vertical="center" wrapText="1"/>
    </xf>
    <xf numFmtId="231" fontId="111" fillId="0" borderId="0" xfId="3" applyNumberFormat="1" applyAlignment="1">
      <alignment horizontal="left" vertical="center" wrapText="1"/>
    </xf>
    <xf numFmtId="231" fontId="111" fillId="96" borderId="0" xfId="543" applyNumberFormat="1" applyFont="1" applyFill="1" applyBorder="1" applyAlignment="1">
      <alignment horizontal="right" vertical="center" wrapText="1"/>
    </xf>
    <xf numFmtId="37" fontId="111" fillId="0" borderId="0" xfId="2" applyNumberFormat="1" applyFont="1" applyAlignment="1">
      <alignment vertical="center" wrapText="1"/>
    </xf>
    <xf numFmtId="230" fontId="113" fillId="0" borderId="0" xfId="924" applyNumberFormat="1" applyFont="1" applyAlignment="1">
      <alignment vertical="center" wrapText="1"/>
    </xf>
    <xf numFmtId="0" fontId="112" fillId="0" borderId="0" xfId="3" applyFont="1" applyAlignment="1">
      <alignment horizontal="left" vertical="center" wrapText="1"/>
    </xf>
    <xf numFmtId="3" fontId="112" fillId="0" borderId="0" xfId="3" applyNumberFormat="1" applyFont="1" applyAlignment="1">
      <alignment horizontal="right" vertical="center" wrapText="1"/>
    </xf>
    <xf numFmtId="17" fontId="112" fillId="33" borderId="10" xfId="3" quotePrefix="1" applyNumberFormat="1" applyFont="1" applyFill="1" applyBorder="1" applyAlignment="1">
      <alignment horizontal="center" vertical="center" wrapText="1"/>
    </xf>
    <xf numFmtId="17" fontId="112" fillId="33" borderId="11" xfId="3" applyNumberFormat="1" applyFont="1" applyFill="1" applyBorder="1" applyAlignment="1">
      <alignment horizontal="center" vertical="center" wrapText="1"/>
    </xf>
    <xf numFmtId="0" fontId="264" fillId="0" borderId="0" xfId="0" applyFont="1" applyAlignment="1">
      <alignment horizontal="left" vertical="center" wrapText="1"/>
    </xf>
    <xf numFmtId="0" fontId="264" fillId="0" borderId="0" xfId="0" applyFont="1" applyAlignment="1">
      <alignment vertical="center" wrapText="1"/>
    </xf>
    <xf numFmtId="41" fontId="110" fillId="0" borderId="0" xfId="1260" applyFont="1" applyAlignment="1">
      <alignment vertical="center" wrapText="1"/>
    </xf>
    <xf numFmtId="41" fontId="110" fillId="0" borderId="0" xfId="2" applyNumberFormat="1" applyFont="1" applyAlignment="1">
      <alignment vertical="center" wrapText="1"/>
    </xf>
    <xf numFmtId="0" fontId="110" fillId="93" borderId="0" xfId="3" applyFont="1" applyFill="1" applyAlignment="1" applyProtection="1">
      <alignment horizontal="left" vertical="center" wrapText="1"/>
      <protection locked="0"/>
    </xf>
    <xf numFmtId="0" fontId="176" fillId="92" borderId="0" xfId="3" applyFont="1" applyFill="1" applyAlignment="1">
      <alignment horizontal="left" vertical="center" wrapText="1"/>
    </xf>
    <xf numFmtId="3" fontId="176" fillId="92" borderId="0" xfId="3" applyNumberFormat="1" applyFont="1" applyFill="1" applyAlignment="1">
      <alignment horizontal="right" vertical="center" wrapText="1"/>
    </xf>
    <xf numFmtId="0" fontId="245" fillId="92" borderId="0" xfId="3" applyFont="1" applyFill="1" applyAlignment="1">
      <alignment horizontal="left" vertical="center" wrapText="1"/>
    </xf>
    <xf numFmtId="3" fontId="245" fillId="92" borderId="0" xfId="3" applyNumberFormat="1" applyFont="1" applyFill="1" applyAlignment="1">
      <alignment horizontal="right" vertical="center" wrapText="1"/>
    </xf>
    <xf numFmtId="0" fontId="245" fillId="0" borderId="0" xfId="3" applyFont="1" applyAlignment="1">
      <alignment horizontal="left" vertical="center" wrapText="1"/>
    </xf>
    <xf numFmtId="3" fontId="111" fillId="96" borderId="0" xfId="3" applyNumberFormat="1" applyFill="1" applyAlignment="1">
      <alignment horizontal="right" vertical="center" wrapText="1"/>
    </xf>
    <xf numFmtId="3" fontId="111" fillId="93" borderId="0" xfId="3" applyNumberFormat="1" applyFill="1" applyAlignment="1">
      <alignment horizontal="right" vertical="center" wrapText="1"/>
    </xf>
    <xf numFmtId="0" fontId="111" fillId="93" borderId="0" xfId="3" applyFill="1" applyAlignment="1">
      <alignment horizontal="left" vertical="center" wrapText="1"/>
    </xf>
    <xf numFmtId="0" fontId="110" fillId="93" borderId="0" xfId="3" applyFont="1" applyFill="1" applyAlignment="1" applyProtection="1">
      <alignment horizontal="left"/>
      <protection locked="0"/>
    </xf>
    <xf numFmtId="37" fontId="111" fillId="0" borderId="0" xfId="3" applyNumberFormat="1" applyAlignment="1">
      <alignment horizontal="right" vertical="center" wrapText="1"/>
    </xf>
    <xf numFmtId="37" fontId="109" fillId="91" borderId="0" xfId="2" applyNumberFormat="1" applyFont="1" applyFill="1" applyAlignment="1">
      <alignment vertical="center" wrapText="1"/>
    </xf>
    <xf numFmtId="0" fontId="110" fillId="91" borderId="0" xfId="2" applyFont="1" applyFill="1" applyAlignment="1">
      <alignment vertical="center" wrapText="1"/>
    </xf>
    <xf numFmtId="0" fontId="113" fillId="91" borderId="0" xfId="924" applyFont="1" applyFill="1" applyAlignment="1">
      <alignment vertical="center" wrapText="1"/>
    </xf>
    <xf numFmtId="230" fontId="113" fillId="91" borderId="0" xfId="924" applyNumberFormat="1" applyFont="1" applyFill="1" applyAlignment="1">
      <alignment vertical="center" wrapText="1"/>
    </xf>
    <xf numFmtId="0" fontId="176" fillId="91" borderId="0" xfId="592" applyFont="1" applyFill="1" applyAlignment="1" applyProtection="1">
      <alignment vertical="center"/>
      <protection locked="0"/>
    </xf>
    <xf numFmtId="0" fontId="176" fillId="0" borderId="0" xfId="592" applyFont="1" applyAlignment="1" applyProtection="1">
      <alignment vertical="center"/>
      <protection locked="0"/>
    </xf>
    <xf numFmtId="0" fontId="113" fillId="0" borderId="0" xfId="924" applyFont="1" applyAlignment="1">
      <alignment vertical="center" wrapText="1"/>
    </xf>
    <xf numFmtId="0" fontId="111" fillId="0" borderId="0" xfId="592" applyAlignment="1" applyProtection="1">
      <alignment vertical="center"/>
      <protection locked="0"/>
    </xf>
    <xf numFmtId="0" fontId="113" fillId="91" borderId="0" xfId="924" applyFont="1" applyFill="1" applyAlignment="1">
      <alignment horizontal="left" vertical="center" wrapText="1"/>
    </xf>
    <xf numFmtId="0" fontId="111" fillId="91" borderId="0" xfId="592" applyFill="1" applyAlignment="1" applyProtection="1">
      <alignment vertical="center"/>
      <protection locked="0"/>
    </xf>
    <xf numFmtId="0" fontId="110" fillId="91" borderId="0" xfId="2" applyFont="1" applyFill="1" applyAlignment="1">
      <alignment horizontal="left" vertical="center" wrapText="1" indent="1"/>
    </xf>
    <xf numFmtId="0" fontId="111" fillId="0" borderId="0" xfId="592" applyAlignment="1" applyProtection="1">
      <alignment horizontal="left"/>
      <protection locked="0"/>
    </xf>
    <xf numFmtId="0" fontId="109" fillId="91" borderId="0" xfId="2" applyFont="1" applyFill="1" applyAlignment="1">
      <alignment horizontal="left" vertical="center" wrapText="1" indent="1"/>
    </xf>
    <xf numFmtId="0" fontId="113" fillId="91" borderId="0" xfId="924" applyFont="1" applyFill="1" applyAlignment="1">
      <alignment horizontal="left" vertical="center" wrapText="1" indent="1"/>
    </xf>
    <xf numFmtId="0" fontId="114" fillId="91" borderId="0" xfId="2" applyFont="1" applyFill="1" applyAlignment="1">
      <alignment vertical="center" wrapText="1"/>
    </xf>
    <xf numFmtId="0" fontId="109" fillId="0" borderId="0" xfId="2" applyFont="1" applyAlignment="1">
      <alignment horizontal="left" vertical="center" wrapText="1" indent="1"/>
    </xf>
    <xf numFmtId="41" fontId="110" fillId="0" borderId="0" xfId="1260" applyFont="1" applyFill="1" applyBorder="1" applyAlignment="1">
      <alignment vertical="center" wrapText="1"/>
    </xf>
    <xf numFmtId="41" fontId="110" fillId="0" borderId="0" xfId="1260" applyFont="1" applyFill="1" applyBorder="1" applyAlignment="1">
      <alignment horizontal="right" vertical="center" wrapText="1"/>
    </xf>
    <xf numFmtId="41" fontId="110" fillId="0" borderId="0" xfId="1260" applyFont="1" applyFill="1" applyAlignment="1">
      <alignment vertical="center" wrapText="1"/>
    </xf>
    <xf numFmtId="0" fontId="109" fillId="0" borderId="0" xfId="2" applyFont="1" applyAlignment="1">
      <alignment horizontal="center" vertical="center" wrapText="1"/>
    </xf>
    <xf numFmtId="0" fontId="13" fillId="0" borderId="0" xfId="1318"/>
    <xf numFmtId="231" fontId="111" fillId="0" borderId="0" xfId="543" applyNumberFormat="1" applyFont="1" applyFill="1" applyBorder="1" applyAlignment="1">
      <alignment vertical="center" wrapText="1"/>
    </xf>
    <xf numFmtId="0" fontId="111" fillId="0" borderId="0" xfId="2" applyFont="1" applyAlignment="1">
      <alignment vertical="center" wrapText="1"/>
    </xf>
    <xf numFmtId="231" fontId="111" fillId="0" borderId="0" xfId="543" applyNumberFormat="1" applyFont="1" applyFill="1" applyAlignment="1">
      <alignment vertical="center" wrapText="1"/>
    </xf>
    <xf numFmtId="231" fontId="176" fillId="91" borderId="0" xfId="543" applyNumberFormat="1" applyFont="1" applyFill="1" applyBorder="1" applyAlignment="1">
      <alignment horizontal="right" vertical="center" wrapText="1"/>
    </xf>
    <xf numFmtId="231" fontId="245" fillId="91" borderId="0" xfId="543" applyNumberFormat="1" applyFont="1" applyFill="1" applyBorder="1" applyAlignment="1">
      <alignment horizontal="right" vertical="center" wrapText="1"/>
    </xf>
    <xf numFmtId="231" fontId="176" fillId="0" borderId="0" xfId="543" applyNumberFormat="1" applyFont="1" applyFill="1" applyBorder="1" applyAlignment="1">
      <alignment horizontal="right" vertical="center" wrapText="1"/>
    </xf>
    <xf numFmtId="231" fontId="109" fillId="0" borderId="0" xfId="543" applyNumberFormat="1" applyFont="1" applyFill="1" applyBorder="1" applyAlignment="1">
      <alignment horizontal="right" vertical="center" wrapText="1"/>
    </xf>
    <xf numFmtId="231" fontId="111" fillId="0" borderId="0" xfId="543" applyNumberFormat="1" applyFont="1" applyFill="1" applyBorder="1" applyAlignment="1">
      <alignment horizontal="right" vertical="center"/>
    </xf>
    <xf numFmtId="231" fontId="245" fillId="0" borderId="0" xfId="543" applyNumberFormat="1" applyFont="1" applyFill="1" applyBorder="1" applyAlignment="1">
      <alignment horizontal="right" vertical="center" wrapText="1"/>
    </xf>
    <xf numFmtId="231" fontId="233" fillId="91" borderId="0" xfId="543" applyNumberFormat="1" applyFont="1" applyFill="1" applyBorder="1" applyAlignment="1">
      <alignment horizontal="right" vertical="center" wrapText="1"/>
    </xf>
    <xf numFmtId="41" fontId="110" fillId="0" borderId="0" xfId="1244" applyFont="1" applyAlignment="1">
      <alignment vertical="center" wrapText="1"/>
    </xf>
    <xf numFmtId="0" fontId="8" fillId="0" borderId="0" xfId="1334"/>
    <xf numFmtId="167" fontId="111" fillId="0" borderId="0" xfId="543" applyFont="1" applyFill="1" applyAlignment="1">
      <alignment horizontal="left" vertical="center" wrapText="1"/>
    </xf>
    <xf numFmtId="0" fontId="266" fillId="0" borderId="0" xfId="1341" applyFont="1"/>
    <xf numFmtId="0" fontId="268" fillId="0" borderId="0" xfId="1337" applyFont="1"/>
    <xf numFmtId="0" fontId="269" fillId="0" borderId="0" xfId="1337" applyFont="1"/>
    <xf numFmtId="0" fontId="176" fillId="0" borderId="0" xfId="3" applyFont="1" applyAlignment="1">
      <alignment vertical="center" wrapText="1"/>
    </xf>
    <xf numFmtId="0" fontId="4" fillId="0" borderId="0" xfId="1349"/>
    <xf numFmtId="244" fontId="111" fillId="0" borderId="0" xfId="3" applyNumberFormat="1" applyAlignment="1">
      <alignment horizontal="left" vertical="center" wrapText="1"/>
    </xf>
    <xf numFmtId="245" fontId="111" fillId="0" borderId="0" xfId="3" applyNumberFormat="1" applyAlignment="1">
      <alignment horizontal="left" vertical="center" wrapText="1"/>
    </xf>
    <xf numFmtId="231" fontId="111" fillId="88" borderId="0" xfId="922" applyNumberFormat="1" applyFont="1" applyFill="1" applyAlignment="1">
      <alignment horizontal="left" vertical="center" wrapText="1"/>
    </xf>
    <xf numFmtId="231" fontId="111" fillId="88" borderId="0" xfId="922" applyNumberFormat="1" applyFont="1" applyFill="1" applyBorder="1" applyAlignment="1">
      <alignment horizontal="right" vertical="center" wrapText="1"/>
    </xf>
    <xf numFmtId="3" fontId="176" fillId="88" borderId="0" xfId="3" applyNumberFormat="1" applyFont="1" applyFill="1" applyAlignment="1">
      <alignment horizontal="right" vertical="center" wrapText="1"/>
    </xf>
    <xf numFmtId="0" fontId="111" fillId="88" borderId="0" xfId="3" applyFill="1" applyAlignment="1">
      <alignment horizontal="right" vertical="center" wrapText="1"/>
    </xf>
    <xf numFmtId="3" fontId="245" fillId="88" borderId="0" xfId="3" applyNumberFormat="1" applyFont="1" applyFill="1" applyAlignment="1">
      <alignment horizontal="right" vertical="center" wrapText="1"/>
    </xf>
    <xf numFmtId="0" fontId="280" fillId="0" borderId="0" xfId="0" applyFont="1" applyAlignment="1">
      <alignment vertical="center"/>
    </xf>
    <xf numFmtId="0" fontId="266" fillId="0" borderId="0" xfId="0" applyFont="1" applyAlignment="1">
      <alignment vertical="center"/>
    </xf>
    <xf numFmtId="0" fontId="275" fillId="0" borderId="60" xfId="0" applyFont="1" applyBorder="1" applyAlignment="1">
      <alignment vertical="center"/>
    </xf>
    <xf numFmtId="0" fontId="276" fillId="95" borderId="60" xfId="0" applyFont="1" applyFill="1" applyBorder="1" applyAlignment="1">
      <alignment vertical="center"/>
    </xf>
    <xf numFmtId="0" fontId="276" fillId="0" borderId="60" xfId="0" applyFont="1" applyBorder="1" applyAlignment="1">
      <alignment vertical="center" wrapText="1"/>
    </xf>
    <xf numFmtId="0" fontId="275" fillId="0" borderId="68" xfId="0" applyFont="1" applyBorder="1" applyAlignment="1">
      <alignment vertical="center"/>
    </xf>
    <xf numFmtId="0" fontId="272" fillId="0" borderId="69" xfId="0" applyFont="1" applyBorder="1" applyAlignment="1">
      <alignment vertical="center"/>
    </xf>
    <xf numFmtId="0" fontId="272" fillId="0" borderId="61" xfId="0" applyFont="1" applyBorder="1" applyAlignment="1">
      <alignment vertical="center"/>
    </xf>
    <xf numFmtId="0" fontId="272" fillId="0" borderId="61" xfId="0" applyFont="1" applyBorder="1" applyAlignment="1">
      <alignment vertical="center" wrapText="1"/>
    </xf>
    <xf numFmtId="0" fontId="272" fillId="0" borderId="68" xfId="0" applyFont="1" applyBorder="1" applyAlignment="1">
      <alignment vertical="center"/>
    </xf>
    <xf numFmtId="0" fontId="279" fillId="0" borderId="68" xfId="0" applyFont="1" applyBorder="1" applyAlignment="1">
      <alignment vertical="center"/>
    </xf>
    <xf numFmtId="0" fontId="279" fillId="0" borderId="68" xfId="0" applyFont="1" applyBorder="1" applyAlignment="1">
      <alignment vertical="center" wrapText="1"/>
    </xf>
    <xf numFmtId="0" fontId="280" fillId="0" borderId="0" xfId="0" applyFont="1"/>
    <xf numFmtId="0" fontId="273" fillId="0" borderId="0" xfId="0" applyFont="1"/>
    <xf numFmtId="0" fontId="266" fillId="0" borderId="0" xfId="0" applyFont="1"/>
    <xf numFmtId="0" fontId="277" fillId="0" borderId="31" xfId="0" applyFont="1" applyBorder="1" applyAlignment="1">
      <alignment horizontal="center" vertical="center" wrapText="1"/>
    </xf>
    <xf numFmtId="0" fontId="270" fillId="0" borderId="61" xfId="0" applyFont="1" applyBorder="1" applyAlignment="1">
      <alignment vertical="center"/>
    </xf>
    <xf numFmtId="0" fontId="272" fillId="0" borderId="60" xfId="0" applyFont="1" applyBorder="1" applyAlignment="1">
      <alignment vertical="center"/>
    </xf>
    <xf numFmtId="167" fontId="111" fillId="0" borderId="0" xfId="543" applyAlignment="1">
      <alignment horizontal="right" vertical="center" wrapText="1"/>
    </xf>
    <xf numFmtId="0" fontId="272" fillId="0" borderId="70" xfId="0" applyFont="1" applyBorder="1" applyAlignment="1">
      <alignment vertical="center"/>
    </xf>
    <xf numFmtId="3" fontId="277" fillId="95" borderId="68" xfId="0" applyNumberFormat="1" applyFont="1" applyFill="1" applyBorder="1" applyAlignment="1">
      <alignment horizontal="right" vertical="center" wrapText="1"/>
    </xf>
    <xf numFmtId="3" fontId="277" fillId="0" borderId="68" xfId="0" applyNumberFormat="1" applyFont="1" applyBorder="1" applyAlignment="1">
      <alignment horizontal="right" vertical="center" wrapText="1"/>
    </xf>
    <xf numFmtId="0" fontId="270" fillId="0" borderId="69" xfId="0" applyFont="1" applyBorder="1" applyAlignment="1">
      <alignment horizontal="right" vertical="center" wrapText="1"/>
    </xf>
    <xf numFmtId="0" fontId="270" fillId="95" borderId="69" xfId="0" applyFont="1" applyFill="1" applyBorder="1" applyAlignment="1">
      <alignment horizontal="right" vertical="center" wrapText="1"/>
    </xf>
    <xf numFmtId="3" fontId="270" fillId="95" borderId="70" xfId="0" applyNumberFormat="1" applyFont="1" applyFill="1" applyBorder="1" applyAlignment="1">
      <alignment horizontal="right" vertical="center" wrapText="1"/>
    </xf>
    <xf numFmtId="3" fontId="270" fillId="0" borderId="70" xfId="0" applyNumberFormat="1" applyFont="1" applyBorder="1" applyAlignment="1">
      <alignment horizontal="right" vertical="center" wrapText="1"/>
    </xf>
    <xf numFmtId="3" fontId="270" fillId="95" borderId="61" xfId="0" applyNumberFormat="1" applyFont="1" applyFill="1" applyBorder="1" applyAlignment="1">
      <alignment horizontal="right" vertical="center" wrapText="1"/>
    </xf>
    <xf numFmtId="3" fontId="270" fillId="0" borderId="61" xfId="0" applyNumberFormat="1" applyFont="1" applyBorder="1" applyAlignment="1">
      <alignment horizontal="right" vertical="center" wrapText="1"/>
    </xf>
    <xf numFmtId="0" fontId="270" fillId="0" borderId="61" xfId="0" applyFont="1" applyBorder="1" applyAlignment="1">
      <alignment horizontal="right" vertical="center" wrapText="1"/>
    </xf>
    <xf numFmtId="3" fontId="278" fillId="95" borderId="68" xfId="0" applyNumberFormat="1" applyFont="1" applyFill="1" applyBorder="1" applyAlignment="1">
      <alignment horizontal="right" vertical="center" wrapText="1"/>
    </xf>
    <xf numFmtId="3" fontId="278" fillId="0" borderId="68" xfId="0" applyNumberFormat="1" applyFont="1" applyBorder="1" applyAlignment="1">
      <alignment horizontal="right" vertical="center" wrapText="1"/>
    </xf>
    <xf numFmtId="0" fontId="277" fillId="0" borderId="60" xfId="0" applyFont="1" applyBorder="1" applyAlignment="1">
      <alignment horizontal="right" vertical="center" wrapText="1"/>
    </xf>
    <xf numFmtId="0" fontId="277" fillId="95" borderId="60" xfId="0" applyFont="1" applyFill="1" applyBorder="1" applyAlignment="1">
      <alignment horizontal="right" vertical="center" wrapText="1"/>
    </xf>
    <xf numFmtId="3" fontId="270" fillId="0" borderId="68" xfId="0" applyNumberFormat="1" applyFont="1" applyBorder="1" applyAlignment="1">
      <alignment horizontal="right" vertical="center" wrapText="1"/>
    </xf>
    <xf numFmtId="0" fontId="270" fillId="95" borderId="61" xfId="0" applyFont="1" applyFill="1" applyBorder="1" applyAlignment="1">
      <alignment horizontal="right" vertical="center" wrapText="1"/>
    </xf>
    <xf numFmtId="3" fontId="270" fillId="0" borderId="60" xfId="0" applyNumberFormat="1" applyFont="1" applyBorder="1" applyAlignment="1">
      <alignment horizontal="right" vertical="center" wrapText="1"/>
    </xf>
    <xf numFmtId="0" fontId="270" fillId="0" borderId="60" xfId="0" applyFont="1" applyBorder="1" applyAlignment="1">
      <alignment horizontal="right" vertical="center" wrapText="1"/>
    </xf>
    <xf numFmtId="0" fontId="270" fillId="95" borderId="60" xfId="0" applyFont="1" applyFill="1" applyBorder="1" applyAlignment="1">
      <alignment horizontal="right" vertical="center" wrapText="1"/>
    </xf>
    <xf numFmtId="0" fontId="272" fillId="0" borderId="61" xfId="0" applyFont="1" applyBorder="1" applyAlignment="1">
      <alignment horizontal="right" vertical="center" wrapText="1"/>
    </xf>
    <xf numFmtId="169" fontId="239" fillId="0" borderId="0" xfId="1871" applyNumberFormat="1" applyFont="1" applyFill="1" applyBorder="1" applyAlignment="1">
      <alignment horizontal="right" vertical="center" wrapText="1"/>
    </xf>
    <xf numFmtId="9" fontId="241" fillId="91" borderId="0" xfId="1871" applyFont="1" applyFill="1" applyBorder="1" applyAlignment="1">
      <alignment horizontal="right" vertical="center" wrapText="1"/>
    </xf>
    <xf numFmtId="9" fontId="241" fillId="0" borderId="0" xfId="1871" applyFont="1" applyFill="1" applyBorder="1" applyAlignment="1">
      <alignment horizontal="right" vertical="center" wrapText="1"/>
    </xf>
    <xf numFmtId="9" fontId="246" fillId="0" borderId="0" xfId="1871" applyFont="1" applyFill="1" applyBorder="1" applyAlignment="1">
      <alignment horizontal="right" vertical="center" wrapText="1"/>
    </xf>
    <xf numFmtId="0" fontId="277" fillId="95" borderId="31" xfId="0" applyFont="1" applyFill="1" applyBorder="1" applyAlignment="1">
      <alignment horizontal="center" vertical="center"/>
    </xf>
    <xf numFmtId="0" fontId="0" fillId="0" borderId="73" xfId="0" applyBorder="1" applyAlignment="1">
      <alignment vertical="center" wrapText="1"/>
    </xf>
    <xf numFmtId="0" fontId="0" fillId="0" borderId="68" xfId="0" applyBorder="1"/>
    <xf numFmtId="0" fontId="282" fillId="0" borderId="73" xfId="0" applyFont="1" applyBorder="1" applyAlignment="1">
      <alignment horizontal="center" vertical="center" wrapText="1"/>
    </xf>
    <xf numFmtId="0" fontId="281" fillId="0" borderId="0" xfId="0" applyFont="1" applyAlignment="1">
      <alignment horizontal="justify" vertical="center"/>
    </xf>
    <xf numFmtId="0" fontId="270" fillId="0" borderId="60" xfId="0" applyFont="1" applyBorder="1" applyAlignment="1">
      <alignment vertical="center" wrapText="1"/>
    </xf>
    <xf numFmtId="0" fontId="271" fillId="0" borderId="63" xfId="0" applyFont="1" applyBorder="1" applyAlignment="1">
      <alignment vertical="center" wrapText="1"/>
    </xf>
    <xf numFmtId="0" fontId="271" fillId="0" borderId="63" xfId="0" applyFont="1" applyBorder="1" applyAlignment="1">
      <alignment horizontal="right" vertical="center" wrapText="1"/>
    </xf>
    <xf numFmtId="0" fontId="271" fillId="0" borderId="61" xfId="0" applyFont="1" applyBorder="1" applyAlignment="1">
      <alignment vertical="center" wrapText="1"/>
    </xf>
    <xf numFmtId="0" fontId="270" fillId="0" borderId="61" xfId="0" applyFont="1" applyBorder="1" applyAlignment="1">
      <alignment vertical="center" wrapText="1"/>
    </xf>
    <xf numFmtId="0" fontId="271" fillId="0" borderId="60" xfId="0" applyFont="1" applyBorder="1" applyAlignment="1">
      <alignment vertical="center" wrapText="1"/>
    </xf>
    <xf numFmtId="0" fontId="271" fillId="0" borderId="62" xfId="0" applyFont="1" applyBorder="1" applyAlignment="1">
      <alignment vertical="center" wrapText="1"/>
    </xf>
    <xf numFmtId="0" fontId="271" fillId="0" borderId="64" xfId="0" applyFont="1" applyBorder="1" applyAlignment="1">
      <alignment vertical="center" wrapText="1"/>
    </xf>
    <xf numFmtId="0" fontId="272" fillId="0" borderId="65" xfId="0" applyFont="1" applyBorder="1" applyAlignment="1">
      <alignment vertical="center" wrapText="1"/>
    </xf>
    <xf numFmtId="0" fontId="272" fillId="0" borderId="66" xfId="0" applyFont="1" applyBorder="1" applyAlignment="1">
      <alignment vertical="center" wrapText="1"/>
    </xf>
    <xf numFmtId="0" fontId="284" fillId="0" borderId="66" xfId="0" applyFont="1" applyBorder="1" applyAlignment="1">
      <alignment vertical="center" wrapText="1"/>
    </xf>
    <xf numFmtId="0" fontId="271" fillId="0" borderId="67" xfId="0" applyFont="1" applyBorder="1" applyAlignment="1">
      <alignment horizontal="left" vertical="center" wrapText="1"/>
    </xf>
    <xf numFmtId="0" fontId="271" fillId="0" borderId="0" xfId="0" applyFont="1" applyAlignment="1">
      <alignment horizontal="left" vertical="center" wrapText="1"/>
    </xf>
    <xf numFmtId="0" fontId="271" fillId="0" borderId="63" xfId="0" applyFont="1" applyBorder="1" applyAlignment="1">
      <alignment horizontal="left" vertical="center" wrapText="1"/>
    </xf>
    <xf numFmtId="167" fontId="0" fillId="0" borderId="0" xfId="922" applyFont="1"/>
    <xf numFmtId="249" fontId="0" fillId="0" borderId="0" xfId="922" applyNumberFormat="1" applyFont="1"/>
    <xf numFmtId="3" fontId="270" fillId="91" borderId="61" xfId="0" applyNumberFormat="1" applyFont="1" applyFill="1" applyBorder="1" applyAlignment="1">
      <alignment horizontal="right" vertical="center" wrapText="1"/>
    </xf>
    <xf numFmtId="0" fontId="270" fillId="91" borderId="61" xfId="0" applyFont="1" applyFill="1" applyBorder="1" applyAlignment="1">
      <alignment horizontal="right" vertical="center" wrapText="1"/>
    </xf>
    <xf numFmtId="3" fontId="277" fillId="91" borderId="68" xfId="0" applyNumberFormat="1" applyFont="1" applyFill="1" applyBorder="1" applyAlignment="1">
      <alignment horizontal="right" vertical="center" wrapText="1"/>
    </xf>
    <xf numFmtId="3" fontId="270" fillId="91" borderId="68" xfId="0" applyNumberFormat="1" applyFont="1" applyFill="1" applyBorder="1" applyAlignment="1">
      <alignment horizontal="right" vertical="center" wrapText="1"/>
    </xf>
    <xf numFmtId="0" fontId="286" fillId="0" borderId="0" xfId="0" applyFont="1"/>
    <xf numFmtId="0" fontId="271" fillId="95" borderId="62" xfId="0" applyFont="1" applyFill="1" applyBorder="1" applyAlignment="1">
      <alignment horizontal="center" vertical="center" wrapText="1"/>
    </xf>
    <xf numFmtId="0" fontId="271" fillId="0" borderId="62" xfId="0" applyFont="1" applyBorder="1" applyAlignment="1">
      <alignment horizontal="center" vertical="center" wrapText="1"/>
    </xf>
    <xf numFmtId="0" fontId="272" fillId="0" borderId="0" xfId="0" applyFont="1"/>
    <xf numFmtId="0" fontId="271" fillId="95" borderId="63" xfId="0" applyFont="1" applyFill="1" applyBorder="1" applyAlignment="1">
      <alignment horizontal="right" vertical="center" wrapText="1"/>
    </xf>
    <xf numFmtId="3" fontId="271" fillId="95" borderId="61" xfId="0" applyNumberFormat="1" applyFont="1" applyFill="1" applyBorder="1" applyAlignment="1">
      <alignment horizontal="right" vertical="center" wrapText="1"/>
    </xf>
    <xf numFmtId="3" fontId="271" fillId="0" borderId="61" xfId="0" applyNumberFormat="1" applyFont="1" applyBorder="1" applyAlignment="1">
      <alignment horizontal="right" vertical="center" wrapText="1"/>
    </xf>
    <xf numFmtId="3" fontId="271" fillId="95" borderId="60" xfId="0" applyNumberFormat="1" applyFont="1" applyFill="1" applyBorder="1" applyAlignment="1">
      <alignment horizontal="right" vertical="center" wrapText="1"/>
    </xf>
    <xf numFmtId="3" fontId="271" fillId="0" borderId="60" xfId="0" applyNumberFormat="1" applyFont="1" applyBorder="1" applyAlignment="1">
      <alignment horizontal="right" vertical="center" wrapText="1"/>
    </xf>
    <xf numFmtId="0" fontId="272" fillId="0" borderId="0" xfId="0" applyFont="1" applyAlignment="1">
      <alignment vertical="center"/>
    </xf>
    <xf numFmtId="0" fontId="272" fillId="95" borderId="0" xfId="0" applyFont="1" applyFill="1"/>
    <xf numFmtId="0" fontId="271" fillId="95" borderId="64" xfId="0" applyFont="1" applyFill="1" applyBorder="1" applyAlignment="1">
      <alignment vertical="center" wrapText="1"/>
    </xf>
    <xf numFmtId="231" fontId="272" fillId="95" borderId="0" xfId="922" applyNumberFormat="1" applyFont="1" applyFill="1" applyBorder="1"/>
    <xf numFmtId="231" fontId="272" fillId="0" borderId="0" xfId="922" applyNumberFormat="1" applyFont="1" applyBorder="1"/>
    <xf numFmtId="231" fontId="271" fillId="95" borderId="63" xfId="922" applyNumberFormat="1" applyFont="1" applyFill="1" applyBorder="1" applyAlignment="1">
      <alignment vertical="center" wrapText="1"/>
    </xf>
    <xf numFmtId="231" fontId="271" fillId="0" borderId="63" xfId="922" applyNumberFormat="1" applyFont="1" applyBorder="1" applyAlignment="1">
      <alignment vertical="center" wrapText="1"/>
    </xf>
    <xf numFmtId="0" fontId="270" fillId="0" borderId="66" xfId="0" applyFont="1" applyBorder="1" applyAlignment="1">
      <alignment horizontal="right" vertical="center" wrapText="1"/>
    </xf>
    <xf numFmtId="3" fontId="270" fillId="95" borderId="66" xfId="0" applyNumberFormat="1" applyFont="1" applyFill="1" applyBorder="1" applyAlignment="1">
      <alignment horizontal="right" vertical="center" wrapText="1"/>
    </xf>
    <xf numFmtId="3" fontId="274" fillId="95" borderId="68" xfId="0" applyNumberFormat="1" applyFont="1" applyFill="1" applyBorder="1" applyAlignment="1">
      <alignment horizontal="right" vertical="center" wrapText="1"/>
    </xf>
    <xf numFmtId="3" fontId="274" fillId="0" borderId="68" xfId="0" applyNumberFormat="1" applyFont="1" applyBorder="1" applyAlignment="1">
      <alignment horizontal="right" vertical="center" wrapText="1"/>
    </xf>
    <xf numFmtId="0" fontId="271" fillId="0" borderId="68" xfId="0" applyFont="1" applyBorder="1" applyAlignment="1">
      <alignment vertical="center" wrapText="1"/>
    </xf>
    <xf numFmtId="49" fontId="247" fillId="33" borderId="0" xfId="3" applyNumberFormat="1" applyFont="1" applyFill="1" applyAlignment="1">
      <alignment horizontal="center" vertical="center" wrapText="1"/>
    </xf>
    <xf numFmtId="49" fontId="247" fillId="33" borderId="58" xfId="3" applyNumberFormat="1" applyFont="1" applyFill="1" applyBorder="1" applyAlignment="1">
      <alignment horizontal="center" vertical="center" wrapText="1"/>
    </xf>
    <xf numFmtId="17" fontId="247" fillId="33" borderId="58" xfId="3" applyNumberFormat="1" applyFont="1" applyFill="1" applyBorder="1" applyAlignment="1">
      <alignment horizontal="center" vertical="center" wrapText="1"/>
    </xf>
    <xf numFmtId="17" fontId="247" fillId="33" borderId="0" xfId="3" applyNumberFormat="1" applyFont="1" applyFill="1" applyAlignment="1">
      <alignment horizontal="center" vertical="center" wrapText="1"/>
    </xf>
    <xf numFmtId="0" fontId="264" fillId="0" borderId="0" xfId="0" applyFont="1" applyAlignment="1">
      <alignment horizontal="center" vertical="center" wrapText="1"/>
    </xf>
    <xf numFmtId="17" fontId="112" fillId="33" borderId="58" xfId="3" quotePrefix="1" applyNumberFormat="1" applyFont="1" applyFill="1" applyBorder="1" applyAlignment="1">
      <alignment horizontal="center" vertical="center" wrapText="1"/>
    </xf>
    <xf numFmtId="17" fontId="112" fillId="33" borderId="0" xfId="3" quotePrefix="1" applyNumberFormat="1" applyFont="1" applyFill="1" applyAlignment="1">
      <alignment horizontal="center" vertical="center" wrapText="1"/>
    </xf>
    <xf numFmtId="0" fontId="264" fillId="0" borderId="0" xfId="0" applyFont="1" applyAlignment="1">
      <alignment horizontal="left" vertical="center" wrapText="1"/>
    </xf>
    <xf numFmtId="17" fontId="112" fillId="33" borderId="58" xfId="3" applyNumberFormat="1" applyFont="1" applyFill="1" applyBorder="1" applyAlignment="1">
      <alignment horizontal="center" vertical="center" wrapText="1"/>
    </xf>
    <xf numFmtId="17" fontId="112" fillId="33" borderId="0" xfId="3" applyNumberFormat="1" applyFont="1" applyFill="1" applyAlignment="1">
      <alignment horizontal="center" vertical="center" wrapText="1"/>
    </xf>
    <xf numFmtId="49" fontId="247" fillId="33" borderId="10" xfId="3" applyNumberFormat="1" applyFont="1" applyFill="1" applyBorder="1" applyAlignment="1">
      <alignment horizontal="center" vertical="center" wrapText="1"/>
    </xf>
    <xf numFmtId="49" fontId="247" fillId="33" borderId="11" xfId="3" applyNumberFormat="1" applyFont="1" applyFill="1" applyBorder="1" applyAlignment="1">
      <alignment horizontal="center" vertical="center" wrapText="1"/>
    </xf>
    <xf numFmtId="49" fontId="247" fillId="33" borderId="12" xfId="3" applyNumberFormat="1" applyFont="1" applyFill="1" applyBorder="1" applyAlignment="1">
      <alignment horizontal="center" vertical="center" wrapText="1"/>
    </xf>
    <xf numFmtId="0" fontId="111" fillId="0" borderId="0" xfId="3" applyAlignment="1">
      <alignment horizontal="left" vertical="center" wrapText="1"/>
    </xf>
    <xf numFmtId="0" fontId="176" fillId="0" borderId="0" xfId="3" applyFont="1" applyAlignment="1">
      <alignment horizontal="center" vertical="center" wrapText="1"/>
    </xf>
    <xf numFmtId="0" fontId="111" fillId="0" borderId="0" xfId="3" applyAlignment="1">
      <alignment horizontal="center" vertical="center" wrapText="1"/>
    </xf>
    <xf numFmtId="17" fontId="247" fillId="33" borderId="10" xfId="3" applyNumberFormat="1" applyFont="1" applyFill="1" applyBorder="1" applyAlignment="1">
      <alignment horizontal="center" vertical="center" wrapText="1"/>
    </xf>
    <xf numFmtId="17" fontId="247" fillId="33" borderId="11" xfId="3" applyNumberFormat="1" applyFont="1" applyFill="1" applyBorder="1" applyAlignment="1">
      <alignment horizontal="center" vertical="center" wrapText="1"/>
    </xf>
    <xf numFmtId="17" fontId="247" fillId="33" borderId="12" xfId="3" applyNumberFormat="1" applyFont="1" applyFill="1" applyBorder="1" applyAlignment="1">
      <alignment horizontal="center" vertical="center" wrapText="1"/>
    </xf>
    <xf numFmtId="17" fontId="247" fillId="33" borderId="10" xfId="3" quotePrefix="1" applyNumberFormat="1" applyFont="1" applyFill="1" applyBorder="1" applyAlignment="1">
      <alignment horizontal="center" vertical="center" wrapText="1"/>
    </xf>
    <xf numFmtId="17" fontId="247" fillId="33" borderId="11" xfId="3" quotePrefix="1" applyNumberFormat="1" applyFont="1" applyFill="1" applyBorder="1" applyAlignment="1">
      <alignment horizontal="center" vertical="center" wrapText="1"/>
    </xf>
    <xf numFmtId="17" fontId="247" fillId="33" borderId="12" xfId="3" quotePrefix="1" applyNumberFormat="1" applyFont="1" applyFill="1" applyBorder="1" applyAlignment="1">
      <alignment horizontal="center" vertical="center" wrapText="1"/>
    </xf>
    <xf numFmtId="0" fontId="110" fillId="0" borderId="0" xfId="2" applyFont="1" applyAlignment="1">
      <alignment horizontal="center" vertical="center" wrapText="1"/>
    </xf>
    <xf numFmtId="0" fontId="109" fillId="0" borderId="0" xfId="2" applyFont="1" applyAlignment="1">
      <alignment horizontal="center" vertical="center" wrapText="1"/>
    </xf>
    <xf numFmtId="17" fontId="112" fillId="33" borderId="10" xfId="3" quotePrefix="1" applyNumberFormat="1" applyFont="1" applyFill="1" applyBorder="1" applyAlignment="1">
      <alignment horizontal="center" vertical="center" wrapText="1"/>
    </xf>
    <xf numFmtId="17" fontId="112" fillId="33" borderId="11" xfId="3" quotePrefix="1" applyNumberFormat="1" applyFont="1" applyFill="1" applyBorder="1" applyAlignment="1">
      <alignment horizontal="center" vertical="center" wrapText="1"/>
    </xf>
    <xf numFmtId="17" fontId="112" fillId="33" borderId="12" xfId="3" quotePrefix="1" applyNumberFormat="1" applyFont="1" applyFill="1" applyBorder="1" applyAlignment="1">
      <alignment horizontal="center" vertical="center" wrapText="1"/>
    </xf>
    <xf numFmtId="17" fontId="112" fillId="33" borderId="10" xfId="3" applyNumberFormat="1" applyFont="1" applyFill="1" applyBorder="1" applyAlignment="1">
      <alignment horizontal="center" vertical="center" wrapText="1"/>
    </xf>
    <xf numFmtId="17" fontId="112" fillId="33" borderId="11" xfId="3" applyNumberFormat="1" applyFont="1" applyFill="1" applyBorder="1" applyAlignment="1">
      <alignment horizontal="center" vertical="center" wrapText="1"/>
    </xf>
    <xf numFmtId="17" fontId="112" fillId="33" borderId="12" xfId="3" applyNumberFormat="1" applyFont="1" applyFill="1" applyBorder="1" applyAlignment="1">
      <alignment horizontal="center" vertical="center" wrapText="1"/>
    </xf>
    <xf numFmtId="0" fontId="288" fillId="0" borderId="60" xfId="0" applyFont="1" applyBorder="1" applyAlignment="1">
      <alignment horizontal="center" vertical="center" wrapText="1"/>
    </xf>
  </cellXfs>
  <cellStyles count="10946">
    <cellStyle name="******************************************" xfId="5" xr:uid="{00000000-0005-0000-0000-000000000000}"/>
    <cellStyle name="1o.nível" xfId="6" xr:uid="{00000000-0005-0000-0000-000001000000}"/>
    <cellStyle name="20% - Accent1" xfId="7" xr:uid="{00000000-0005-0000-0000-000002000000}"/>
    <cellStyle name="20% - Accent1 2" xfId="8" xr:uid="{00000000-0005-0000-0000-000003000000}"/>
    <cellStyle name="20% - Accent1 3" xfId="9" xr:uid="{00000000-0005-0000-0000-000004000000}"/>
    <cellStyle name="20% - Accent1_PYG CemArgos consolidado" xfId="10" xr:uid="{00000000-0005-0000-0000-000005000000}"/>
    <cellStyle name="20% - Accent2" xfId="11" xr:uid="{00000000-0005-0000-0000-000006000000}"/>
    <cellStyle name="20% - Accent2 2" xfId="12" xr:uid="{00000000-0005-0000-0000-000007000000}"/>
    <cellStyle name="20% - Accent2 3" xfId="13" xr:uid="{00000000-0005-0000-0000-000008000000}"/>
    <cellStyle name="20% - Accent2_PYG CemArgos consolidado" xfId="14" xr:uid="{00000000-0005-0000-0000-000009000000}"/>
    <cellStyle name="20% - Accent3" xfId="15" xr:uid="{00000000-0005-0000-0000-00000A000000}"/>
    <cellStyle name="20% - Accent3 2" xfId="16" xr:uid="{00000000-0005-0000-0000-00000B000000}"/>
    <cellStyle name="20% - Accent3 3" xfId="17" xr:uid="{00000000-0005-0000-0000-00000C000000}"/>
    <cellStyle name="20% - Accent3_PYG CemArgos consolidado" xfId="18" xr:uid="{00000000-0005-0000-0000-00000D000000}"/>
    <cellStyle name="20% - Accent4" xfId="19" xr:uid="{00000000-0005-0000-0000-00000E000000}"/>
    <cellStyle name="20% - Accent4 2" xfId="20" xr:uid="{00000000-0005-0000-0000-00000F000000}"/>
    <cellStyle name="20% - Accent4 3" xfId="21" xr:uid="{00000000-0005-0000-0000-000010000000}"/>
    <cellStyle name="20% - Accent4_PYG CemArgos consolidado" xfId="22" xr:uid="{00000000-0005-0000-0000-000011000000}"/>
    <cellStyle name="20% - Accent5" xfId="23" xr:uid="{00000000-0005-0000-0000-000012000000}"/>
    <cellStyle name="20% - Accent5 2" xfId="24" xr:uid="{00000000-0005-0000-0000-000013000000}"/>
    <cellStyle name="20% - Accent5 3" xfId="25" xr:uid="{00000000-0005-0000-0000-000014000000}"/>
    <cellStyle name="20% - Accent5_PYG CemArgos consolidado" xfId="26" xr:uid="{00000000-0005-0000-0000-000015000000}"/>
    <cellStyle name="20% - Accent6" xfId="27" xr:uid="{00000000-0005-0000-0000-000016000000}"/>
    <cellStyle name="20% - Accent6 2" xfId="28" xr:uid="{00000000-0005-0000-0000-000017000000}"/>
    <cellStyle name="20% - Accent6 3" xfId="29" xr:uid="{00000000-0005-0000-0000-000018000000}"/>
    <cellStyle name="20% - Accent6_PYG CemArgos consolidado" xfId="30" xr:uid="{00000000-0005-0000-0000-000019000000}"/>
    <cellStyle name="20% - Énfasis1 2" xfId="31" xr:uid="{00000000-0005-0000-0000-00001A000000}"/>
    <cellStyle name="20% - Énfasis1 2 2" xfId="32" xr:uid="{00000000-0005-0000-0000-00001B000000}"/>
    <cellStyle name="20% - Énfasis1 2 2 2" xfId="33" xr:uid="{00000000-0005-0000-0000-00001C000000}"/>
    <cellStyle name="20% - Énfasis1 2 2 2 2" xfId="1648" xr:uid="{B55EC863-9C46-4D21-9F50-640608DDC42F}"/>
    <cellStyle name="20% - Énfasis1 2 2 2 2 2" xfId="2293" xr:uid="{5FBDB60B-0831-461C-8A37-BFF83073BB97}"/>
    <cellStyle name="20% - Énfasis1 2 2 2 2 2 2" xfId="3304" xr:uid="{AE9BFE2C-1A1D-4144-B15E-F1C442681EF3}"/>
    <cellStyle name="20% - Énfasis1 2 2 2 2 2 2 2" xfId="5728" xr:uid="{F97789A1-D4E4-4E89-81E9-EED21F9CB860}"/>
    <cellStyle name="20% - Énfasis1 2 2 2 2 2 2 2 2" xfId="10296" xr:uid="{7511A518-4EA4-4EFC-9EC5-7F3B169A1FC4}"/>
    <cellStyle name="20% - Énfasis1 2 2 2 2 2 2 3" xfId="8004" xr:uid="{A2FBF304-2E9F-435C-9E8F-CA5F5CFFE369}"/>
    <cellStyle name="20% - Énfasis1 2 2 2 2 2 3" xfId="4719" xr:uid="{47C1362F-3726-4344-885D-C18400010ECD}"/>
    <cellStyle name="20% - Énfasis1 2 2 2 2 2 3 2" xfId="9287" xr:uid="{F1C8BB83-DCA1-4A25-8781-CE77CAAFBD22}"/>
    <cellStyle name="20% - Énfasis1 2 2 2 2 2 4" xfId="6995" xr:uid="{E320072D-6744-4E16-9CB2-768DF6D08EE7}"/>
    <cellStyle name="20% - Énfasis1 2 2 2 2 3" xfId="2876" xr:uid="{F3B4B21B-C55B-4D0D-9EB1-397F17ACA239}"/>
    <cellStyle name="20% - Énfasis1 2 2 2 2 3 2" xfId="5300" xr:uid="{EA8A2E92-9300-45C6-B8C6-7DEA876FFC6A}"/>
    <cellStyle name="20% - Énfasis1 2 2 2 2 3 2 2" xfId="9868" xr:uid="{0F5461A6-55BA-4DE7-BABA-553266582384}"/>
    <cellStyle name="20% - Énfasis1 2 2 2 2 3 3" xfId="7576" xr:uid="{D38A1956-F4E6-406F-AE5A-6B372E496DB4}"/>
    <cellStyle name="20% - Énfasis1 2 2 2 2 4" xfId="4291" xr:uid="{D7096352-9E10-4DEA-9E0C-A044479F9990}"/>
    <cellStyle name="20% - Énfasis1 2 2 2 2 4 2" xfId="8859" xr:uid="{F7412E64-7BBD-4A6C-9C62-341A60340EE1}"/>
    <cellStyle name="20% - Énfasis1 2 2 2 2 5" xfId="6567" xr:uid="{C224C683-7710-4763-BF4B-EA6D2AE0BA3C}"/>
    <cellStyle name="20% - Énfasis1 2 2 2 3" xfId="1998" xr:uid="{BE61105A-0C00-4B31-A8B5-78F13D4234E3}"/>
    <cellStyle name="20% - Énfasis1 2 2 2 3 2" xfId="3117" xr:uid="{C858A2E2-1214-42DA-A2D6-37A7D1DF6271}"/>
    <cellStyle name="20% - Énfasis1 2 2 2 3 2 2" xfId="5541" xr:uid="{900B3429-6690-49E1-AC12-3819E01920E7}"/>
    <cellStyle name="20% - Énfasis1 2 2 2 3 2 2 2" xfId="10109" xr:uid="{1B724301-B9D9-4567-BDAA-8DAE5A345D0F}"/>
    <cellStyle name="20% - Énfasis1 2 2 2 3 2 3" xfId="7817" xr:uid="{9609D009-6803-464B-8D29-855C84186C3E}"/>
    <cellStyle name="20% - Énfasis1 2 2 2 3 3" xfId="4532" xr:uid="{DD14EB6F-9D3D-4C7F-A8D9-24BDE933DD8C}"/>
    <cellStyle name="20% - Énfasis1 2 2 2 3 3 2" xfId="9100" xr:uid="{A442649D-03F8-4159-B303-A734D79CD057}"/>
    <cellStyle name="20% - Énfasis1 2 2 2 3 4" xfId="6808" xr:uid="{41234189-A750-4D9B-8B46-D5A9FD5613EF}"/>
    <cellStyle name="20% - Énfasis1 2 2 2 4" xfId="2675" xr:uid="{B1697500-C0A8-42B0-B29C-E7DC4CE0746E}"/>
    <cellStyle name="20% - Énfasis1 2 2 2 4 2" xfId="5101" xr:uid="{D6CF4DCD-457B-4714-AE16-B0ACE6A294F6}"/>
    <cellStyle name="20% - Énfasis1 2 2 2 4 2 2" xfId="9669" xr:uid="{9BA0FA9B-1F7F-44AA-B674-4DFE45D5F515}"/>
    <cellStyle name="20% - Énfasis1 2 2 2 4 3" xfId="7377" xr:uid="{1F717B12-B88C-4079-975B-48EDC27CDFD4}"/>
    <cellStyle name="20% - Énfasis1 2 2 2 5" xfId="4011" xr:uid="{7668EF12-1FA2-4D09-B412-9D350DE43FF6}"/>
    <cellStyle name="20% - Énfasis1 2 2 2 5 2" xfId="8580" xr:uid="{BCF5B2D4-516D-4BF3-8318-79588F4DD956}"/>
    <cellStyle name="20% - Énfasis1 2 2 2 6" xfId="6377" xr:uid="{371BFB05-735A-4D66-AAEF-6FF1D2D9B891}"/>
    <cellStyle name="20% - Énfasis1 2 2 2 7" xfId="1363" xr:uid="{C9208E51-721D-4418-AE2A-494C226ED23A}"/>
    <cellStyle name="20% - Énfasis1 2 2 3" xfId="1647" xr:uid="{649BFBCC-C9E5-4B43-A087-084FD606AEED}"/>
    <cellStyle name="20% - Énfasis1 2 2 3 2" xfId="2292" xr:uid="{06CFC6A8-A4A1-4B5B-B3E8-F7849BAEAACE}"/>
    <cellStyle name="20% - Énfasis1 2 2 3 2 2" xfId="3303" xr:uid="{51694496-1EA7-448E-BE0C-24066D9C4AB6}"/>
    <cellStyle name="20% - Énfasis1 2 2 3 2 2 2" xfId="5727" xr:uid="{CCDFF9A7-3B56-4673-A658-3BDA3DAEC344}"/>
    <cellStyle name="20% - Énfasis1 2 2 3 2 2 2 2" xfId="10295" xr:uid="{2CE691BE-F53C-4DAA-B822-3E0FED1342A1}"/>
    <cellStyle name="20% - Énfasis1 2 2 3 2 2 3" xfId="8003" xr:uid="{48F404E3-FBFB-428D-91E1-458838C17D44}"/>
    <cellStyle name="20% - Énfasis1 2 2 3 2 3" xfId="4718" xr:uid="{44B65C1B-6E28-4FE1-84E3-9AF2DF5A76FB}"/>
    <cellStyle name="20% - Énfasis1 2 2 3 2 3 2" xfId="9286" xr:uid="{C64E4D84-5748-4F1F-85B0-03771225364E}"/>
    <cellStyle name="20% - Énfasis1 2 2 3 2 4" xfId="6994" xr:uid="{5F09481E-69DE-4DE6-8F57-16B2A2558B6A}"/>
    <cellStyle name="20% - Énfasis1 2 2 3 3" xfId="2875" xr:uid="{6F08248C-7985-49A4-B844-829C7826DBFD}"/>
    <cellStyle name="20% - Énfasis1 2 2 3 3 2" xfId="5299" xr:uid="{125E46B4-62CA-4981-B4E0-D1CC3F570B23}"/>
    <cellStyle name="20% - Énfasis1 2 2 3 3 2 2" xfId="9867" xr:uid="{1E45F96C-792D-4B5E-88C0-68DDB0A909ED}"/>
    <cellStyle name="20% - Énfasis1 2 2 3 3 3" xfId="7575" xr:uid="{2B4249C0-5B52-4740-B381-9A76D1CC96BB}"/>
    <cellStyle name="20% - Énfasis1 2 2 3 4" xfId="4290" xr:uid="{E23305E8-7148-49AE-9A37-A56B779D330E}"/>
    <cellStyle name="20% - Énfasis1 2 2 3 4 2" xfId="8858" xr:uid="{F952021E-E349-4542-AA5E-89ECEF80641F}"/>
    <cellStyle name="20% - Énfasis1 2 2 3 5" xfId="6566" xr:uid="{BE7046C8-D727-4567-AC88-009C9D41704C}"/>
    <cellStyle name="20% - Énfasis1 2 2 4" xfId="1997" xr:uid="{421A8F7D-CDCE-44DD-90E6-9C2EC45BCEBC}"/>
    <cellStyle name="20% - Énfasis1 2 2 4 2" xfId="3116" xr:uid="{4F7C57A5-6E7B-4ECE-98FC-07DE1DA04175}"/>
    <cellStyle name="20% - Énfasis1 2 2 4 2 2" xfId="5540" xr:uid="{0CE96349-52E6-4106-9AB7-F0F2E3A613BF}"/>
    <cellStyle name="20% - Énfasis1 2 2 4 2 2 2" xfId="10108" xr:uid="{B99D3D56-FCA5-4C0C-B5DD-B89EC91B664E}"/>
    <cellStyle name="20% - Énfasis1 2 2 4 2 3" xfId="7816" xr:uid="{BAFC8A65-72A5-42FF-A6AE-1B7745586E0A}"/>
    <cellStyle name="20% - Énfasis1 2 2 4 3" xfId="4531" xr:uid="{CCD13986-7236-46DF-85FA-055D2D3A148E}"/>
    <cellStyle name="20% - Énfasis1 2 2 4 3 2" xfId="9099" xr:uid="{6226C42C-522A-42B9-9A5B-6D8BD4C268F4}"/>
    <cellStyle name="20% - Énfasis1 2 2 4 4" xfId="6807" xr:uid="{EF4D0758-9D20-461E-A19A-22F60AD6A9AA}"/>
    <cellStyle name="20% - Énfasis1 2 2 5" xfId="2674" xr:uid="{CC319959-80AC-41D5-A740-FF2B3F38A5AE}"/>
    <cellStyle name="20% - Énfasis1 2 2 5 2" xfId="5100" xr:uid="{840F1B78-1382-4105-BA5F-C1639560A803}"/>
    <cellStyle name="20% - Énfasis1 2 2 5 2 2" xfId="9668" xr:uid="{966507EC-3FE1-4B12-A79E-E1CC57B4DA07}"/>
    <cellStyle name="20% - Énfasis1 2 2 5 3" xfId="7376" xr:uid="{9A2E4E24-AF41-4A7E-A0E6-7F88F638860D}"/>
    <cellStyle name="20% - Énfasis1 2 2 6" xfId="4010" xr:uid="{BC87811F-D19D-47A6-917A-94788F42E02E}"/>
    <cellStyle name="20% - Énfasis1 2 2 6 2" xfId="8579" xr:uid="{AA5183BD-616E-4608-BF71-0B6BF16FD0CD}"/>
    <cellStyle name="20% - Énfasis1 2 2 7" xfId="6376" xr:uid="{F0A907AF-2724-4B03-97A1-78C2B896FCA0}"/>
    <cellStyle name="20% - Énfasis1 2 2 8" xfId="1362" xr:uid="{D9C8E000-73FC-4780-AAAD-C46DC833C18C}"/>
    <cellStyle name="20% - Énfasis1 2 3" xfId="34" xr:uid="{00000000-0005-0000-0000-00001D000000}"/>
    <cellStyle name="20% - Énfasis1 2 3 2" xfId="1649" xr:uid="{CEDBF004-CA56-4551-AE56-1DC54452EFA7}"/>
    <cellStyle name="20% - Énfasis1 2 3 2 2" xfId="2294" xr:uid="{61B40138-CA08-494B-BA6F-ECDCF0B11407}"/>
    <cellStyle name="20% - Énfasis1 2 3 2 2 2" xfId="3305" xr:uid="{D6B0B7BA-F69E-4544-830B-AC90DD605E02}"/>
    <cellStyle name="20% - Énfasis1 2 3 2 2 2 2" xfId="5729" xr:uid="{64B35A26-BFFA-4C3E-85C6-CA9589C63BE5}"/>
    <cellStyle name="20% - Énfasis1 2 3 2 2 2 2 2" xfId="10297" xr:uid="{5662A425-A613-41D1-B91B-4FD7E2BFB072}"/>
    <cellStyle name="20% - Énfasis1 2 3 2 2 2 3" xfId="8005" xr:uid="{3CF242AB-C93F-4EC8-815F-6C99458D6859}"/>
    <cellStyle name="20% - Énfasis1 2 3 2 2 3" xfId="4720" xr:uid="{7C1B5780-F0C0-44F9-AC69-BE250B6AB35E}"/>
    <cellStyle name="20% - Énfasis1 2 3 2 2 3 2" xfId="9288" xr:uid="{EA0E206D-8342-452F-A815-964C5BAE80FF}"/>
    <cellStyle name="20% - Énfasis1 2 3 2 2 4" xfId="6996" xr:uid="{7905D020-7FED-4AB7-9916-05DB6EDAEB14}"/>
    <cellStyle name="20% - Énfasis1 2 3 2 3" xfId="2877" xr:uid="{B2E7302F-B42F-4DEB-B9D8-8FA686E0551C}"/>
    <cellStyle name="20% - Énfasis1 2 3 2 3 2" xfId="5301" xr:uid="{BCB2D376-D0A5-461C-BD0C-A39FB445B07F}"/>
    <cellStyle name="20% - Énfasis1 2 3 2 3 2 2" xfId="9869" xr:uid="{D8099ADA-7989-4C65-9D8B-CA96E2206CF4}"/>
    <cellStyle name="20% - Énfasis1 2 3 2 3 3" xfId="7577" xr:uid="{B499E17B-F2E5-4091-9B20-39EC51026754}"/>
    <cellStyle name="20% - Énfasis1 2 3 2 4" xfId="4292" xr:uid="{4B48A658-4D52-49BF-9863-2FE9FC3F63E8}"/>
    <cellStyle name="20% - Énfasis1 2 3 2 4 2" xfId="8860" xr:uid="{24A4A9BA-FEA5-4F78-AD68-EB6CFFEFC8A7}"/>
    <cellStyle name="20% - Énfasis1 2 3 2 5" xfId="6568" xr:uid="{D918FAA8-3381-41B4-A0E8-789D90ECE71A}"/>
    <cellStyle name="20% - Énfasis1 2 3 3" xfId="1999" xr:uid="{28FEDB79-E6AD-4386-94E2-352A2FAA4340}"/>
    <cellStyle name="20% - Énfasis1 2 3 3 2" xfId="3118" xr:uid="{3AFD7158-7248-4CBC-A384-1BF27F212002}"/>
    <cellStyle name="20% - Énfasis1 2 3 3 2 2" xfId="5542" xr:uid="{6CCB9184-7C27-43AB-A2AF-51AA80E2FE0A}"/>
    <cellStyle name="20% - Énfasis1 2 3 3 2 2 2" xfId="10110" xr:uid="{1F487162-A398-4717-A044-C67FCB1CF864}"/>
    <cellStyle name="20% - Énfasis1 2 3 3 2 3" xfId="7818" xr:uid="{3809CB67-CC7C-47F8-B69F-5391BE636C3B}"/>
    <cellStyle name="20% - Énfasis1 2 3 3 3" xfId="4533" xr:uid="{C46F61BB-A0A5-485F-8766-A0DF781137DF}"/>
    <cellStyle name="20% - Énfasis1 2 3 3 3 2" xfId="9101" xr:uid="{D98D4447-EE78-4FDC-9E07-0A08FFC4BAB5}"/>
    <cellStyle name="20% - Énfasis1 2 3 3 4" xfId="6809" xr:uid="{D2D97C5A-D175-4188-B540-4E78CE1C458B}"/>
    <cellStyle name="20% - Énfasis1 2 3 4" xfId="2676" xr:uid="{B26BAA7F-AED6-439B-8D86-613CDCDEF9EC}"/>
    <cellStyle name="20% - Énfasis1 2 3 4 2" xfId="5102" xr:uid="{B0D7A0DE-6DCD-413B-A338-E629AC2D59A3}"/>
    <cellStyle name="20% - Énfasis1 2 3 4 2 2" xfId="9670" xr:uid="{31974E06-2E38-4748-A97E-0FA3E746226E}"/>
    <cellStyle name="20% - Énfasis1 2 3 4 3" xfId="7378" xr:uid="{1DF528DB-1E6F-4BD1-8DA4-350F3D477799}"/>
    <cellStyle name="20% - Énfasis1 2 3 5" xfId="4012" xr:uid="{F04AEAC3-9A37-48E5-A7D9-AFD6293C5E36}"/>
    <cellStyle name="20% - Énfasis1 2 3 5 2" xfId="8581" xr:uid="{A782C926-C5A2-4A38-A6C5-34AA91C1F71A}"/>
    <cellStyle name="20% - Énfasis1 2 3 6" xfId="6378" xr:uid="{D8A9684D-CC6C-4A72-9B19-DB4BDD17EB3D}"/>
    <cellStyle name="20% - Énfasis1 2 3 7" xfId="1364" xr:uid="{DCEA7DBE-83EB-4BC5-A42E-AB635DCEAE75}"/>
    <cellStyle name="20% - Énfasis1 2 4" xfId="1646" xr:uid="{9F929382-E698-4241-80AE-E7BE2EF5F8A1}"/>
    <cellStyle name="20% - Énfasis1 2 4 2" xfId="2291" xr:uid="{1029FC57-2780-4BAE-835B-0666C1E24EDE}"/>
    <cellStyle name="20% - Énfasis1 2 4 2 2" xfId="3302" xr:uid="{5E1DDF20-75C1-4FC1-9188-9F8B897297FD}"/>
    <cellStyle name="20% - Énfasis1 2 4 2 2 2" xfId="5726" xr:uid="{29F44519-D745-4654-AAA0-1A97653E27FB}"/>
    <cellStyle name="20% - Énfasis1 2 4 2 2 2 2" xfId="10294" xr:uid="{12E97CA0-1D2A-4910-BA8F-D1EC70E1EC5B}"/>
    <cellStyle name="20% - Énfasis1 2 4 2 2 3" xfId="8002" xr:uid="{4C27E1AF-D838-488B-B010-3BEFBF759E26}"/>
    <cellStyle name="20% - Énfasis1 2 4 2 3" xfId="4717" xr:uid="{2A772A41-EB62-4D7A-99B7-11B9E5614F63}"/>
    <cellStyle name="20% - Énfasis1 2 4 2 3 2" xfId="9285" xr:uid="{4B23B18F-1B3C-41A1-94EF-8DF8F7BD1751}"/>
    <cellStyle name="20% - Énfasis1 2 4 2 4" xfId="6993" xr:uid="{6F048EFB-AF33-4ED8-A270-96D6D0B90F11}"/>
    <cellStyle name="20% - Énfasis1 2 4 3" xfId="2874" xr:uid="{0D244C5E-E51D-4E3A-8B31-46913C1A62FE}"/>
    <cellStyle name="20% - Énfasis1 2 4 3 2" xfId="5298" xr:uid="{1FDB4007-6E84-41BD-B3C4-59674525D5F9}"/>
    <cellStyle name="20% - Énfasis1 2 4 3 2 2" xfId="9866" xr:uid="{0FED1620-EC24-4FDD-960C-79A55669038E}"/>
    <cellStyle name="20% - Énfasis1 2 4 3 3" xfId="7574" xr:uid="{F50146AB-38B3-43A8-B966-B987D8126AB8}"/>
    <cellStyle name="20% - Énfasis1 2 4 4" xfId="4289" xr:uid="{9052B45D-80B3-4C12-98D3-15EA2694472F}"/>
    <cellStyle name="20% - Énfasis1 2 4 4 2" xfId="8857" xr:uid="{D6667B92-5371-404E-BA03-AC71FDB9565A}"/>
    <cellStyle name="20% - Énfasis1 2 4 5" xfId="6565" xr:uid="{D95030AD-6C14-4137-8C28-D9DA43B70367}"/>
    <cellStyle name="20% - Énfasis1 2 5" xfId="1996" xr:uid="{EA80623F-1BBA-4D95-9A48-3E5EE040C1A3}"/>
    <cellStyle name="20% - Énfasis1 2 5 2" xfId="3115" xr:uid="{68B80B14-76B0-4ADB-9D70-4E71E7BF5246}"/>
    <cellStyle name="20% - Énfasis1 2 5 2 2" xfId="5539" xr:uid="{B3E27A0F-65DE-4286-BCCB-70527182D689}"/>
    <cellStyle name="20% - Énfasis1 2 5 2 2 2" xfId="10107" xr:uid="{F7824A65-98CF-4D55-88D1-64C64E50641C}"/>
    <cellStyle name="20% - Énfasis1 2 5 2 3" xfId="7815" xr:uid="{F81698A3-2526-4F6A-9D66-86E6DAA33D7F}"/>
    <cellStyle name="20% - Énfasis1 2 5 3" xfId="4530" xr:uid="{8F0CB566-E0F3-4592-BEC4-E9C2CD0C33FB}"/>
    <cellStyle name="20% - Énfasis1 2 5 3 2" xfId="9098" xr:uid="{4B5086AF-F7F8-49B1-B62E-E187D47F9AC4}"/>
    <cellStyle name="20% - Énfasis1 2 5 4" xfId="6806" xr:uid="{782729EE-A498-4961-BDB8-6F177C2902AA}"/>
    <cellStyle name="20% - Énfasis1 2 6" xfId="2673" xr:uid="{EB5169E9-1DEC-422A-B575-853CEBFD94DB}"/>
    <cellStyle name="20% - Énfasis1 2 6 2" xfId="5099" xr:uid="{7AF7DE65-84C8-4F6E-A68A-F91716D895A0}"/>
    <cellStyle name="20% - Énfasis1 2 6 2 2" xfId="9667" xr:uid="{9CF2979B-8EA9-4638-8D6C-F49539FBC14B}"/>
    <cellStyle name="20% - Énfasis1 2 6 3" xfId="7375" xr:uid="{F7B93E76-E2E6-4704-BE3C-442986300371}"/>
    <cellStyle name="20% - Énfasis1 2 7" xfId="4009" xr:uid="{A11F2F6F-42DE-45C2-84B3-24868573FCF6}"/>
    <cellStyle name="20% - Énfasis1 2 7 2" xfId="8578" xr:uid="{CB59470B-CB71-4DFB-BB9F-223DBB190F57}"/>
    <cellStyle name="20% - Énfasis1 2 8" xfId="6375" xr:uid="{110A9019-4A0F-4E52-BED7-1FC65360B266}"/>
    <cellStyle name="20% - Énfasis1 2 9" xfId="1361" xr:uid="{876F116D-7B00-41AD-880A-0EA3038E3DCD}"/>
    <cellStyle name="20% - Énfasis1 3" xfId="35" xr:uid="{00000000-0005-0000-0000-00001E000000}"/>
    <cellStyle name="20% - Énfasis1 4" xfId="36" xr:uid="{00000000-0005-0000-0000-00001F000000}"/>
    <cellStyle name="20% - Énfasis2 2" xfId="37" xr:uid="{00000000-0005-0000-0000-000020000000}"/>
    <cellStyle name="20% - Énfasis2 2 2" xfId="38" xr:uid="{00000000-0005-0000-0000-000021000000}"/>
    <cellStyle name="20% - Énfasis2 2 2 2" xfId="39" xr:uid="{00000000-0005-0000-0000-000022000000}"/>
    <cellStyle name="20% - Énfasis2 2 2 2 2" xfId="1652" xr:uid="{421B691E-2B9E-4ED4-9422-E9CC2D8C3F81}"/>
    <cellStyle name="20% - Énfasis2 2 2 2 2 2" xfId="2297" xr:uid="{02172A8A-04F6-41A1-A3BD-85F7CAEC33AC}"/>
    <cellStyle name="20% - Énfasis2 2 2 2 2 2 2" xfId="3308" xr:uid="{1A1ADE5C-6150-49CD-8028-9D7CD9836467}"/>
    <cellStyle name="20% - Énfasis2 2 2 2 2 2 2 2" xfId="5732" xr:uid="{53F8AAC4-8F99-4B5C-8ABF-C42BA7BDF494}"/>
    <cellStyle name="20% - Énfasis2 2 2 2 2 2 2 2 2" xfId="10300" xr:uid="{3D5415C6-8F4C-4DAB-8DBF-ED8B18DA17EE}"/>
    <cellStyle name="20% - Énfasis2 2 2 2 2 2 2 3" xfId="8008" xr:uid="{F6508279-51FB-4CEF-82DD-073907B28364}"/>
    <cellStyle name="20% - Énfasis2 2 2 2 2 2 3" xfId="4723" xr:uid="{24C48885-8A02-4157-8E78-4FB46D2B5232}"/>
    <cellStyle name="20% - Énfasis2 2 2 2 2 2 3 2" xfId="9291" xr:uid="{AA33EED3-E4BB-4984-A1FB-607D4FBC5EF7}"/>
    <cellStyle name="20% - Énfasis2 2 2 2 2 2 4" xfId="6999" xr:uid="{964ED330-45C4-44C6-A980-70A9B03E690D}"/>
    <cellStyle name="20% - Énfasis2 2 2 2 2 3" xfId="2880" xr:uid="{8A55013C-4526-4D26-A5E6-AAD0259E4869}"/>
    <cellStyle name="20% - Énfasis2 2 2 2 2 3 2" xfId="5304" xr:uid="{87D47CEF-FF22-4BE4-8D9E-FA7547244931}"/>
    <cellStyle name="20% - Énfasis2 2 2 2 2 3 2 2" xfId="9872" xr:uid="{97E51AD4-7084-4277-BD92-6FBC8DE246BB}"/>
    <cellStyle name="20% - Énfasis2 2 2 2 2 3 3" xfId="7580" xr:uid="{F95B88B0-8754-46B0-B722-044935D61EAD}"/>
    <cellStyle name="20% - Énfasis2 2 2 2 2 4" xfId="4295" xr:uid="{505032BA-EE4D-4557-929E-99E8108193A6}"/>
    <cellStyle name="20% - Énfasis2 2 2 2 2 4 2" xfId="8863" xr:uid="{E876712F-35D5-4D18-B726-3E92C4EF4B28}"/>
    <cellStyle name="20% - Énfasis2 2 2 2 2 5" xfId="6571" xr:uid="{75098A54-CAB2-42DC-A85E-C8237A70A7A4}"/>
    <cellStyle name="20% - Énfasis2 2 2 2 3" xfId="2002" xr:uid="{6FDA0CD6-5113-45A9-A15E-0E576263C0B3}"/>
    <cellStyle name="20% - Énfasis2 2 2 2 3 2" xfId="3121" xr:uid="{4A07E25C-AFE2-4C79-B164-7B4779CD9DBC}"/>
    <cellStyle name="20% - Énfasis2 2 2 2 3 2 2" xfId="5545" xr:uid="{1334AD11-FF6C-47EB-BD00-12827D7BBFC7}"/>
    <cellStyle name="20% - Énfasis2 2 2 2 3 2 2 2" xfId="10113" xr:uid="{E622FD42-26BE-4AD7-84DD-D3DF2DC9A4CD}"/>
    <cellStyle name="20% - Énfasis2 2 2 2 3 2 3" xfId="7821" xr:uid="{4A756ACC-D617-4B5F-9DF4-A53A38A819A2}"/>
    <cellStyle name="20% - Énfasis2 2 2 2 3 3" xfId="4536" xr:uid="{0F72D5B1-C512-4DFA-AED1-39590B6E91CC}"/>
    <cellStyle name="20% - Énfasis2 2 2 2 3 3 2" xfId="9104" xr:uid="{F4AD36A3-378F-4BEB-949C-C665848CB973}"/>
    <cellStyle name="20% - Énfasis2 2 2 2 3 4" xfId="6812" xr:uid="{0C9AE00F-F6FA-4005-8EAC-3BE9764D3E34}"/>
    <cellStyle name="20% - Énfasis2 2 2 2 4" xfId="2679" xr:uid="{F990ECFE-1E48-444E-B182-0B9622327CFB}"/>
    <cellStyle name="20% - Énfasis2 2 2 2 4 2" xfId="5105" xr:uid="{89B24FFF-21E5-4549-936B-300DF83CB6D1}"/>
    <cellStyle name="20% - Énfasis2 2 2 2 4 2 2" xfId="9673" xr:uid="{9E324AC6-721E-463E-AFF7-C546D46BBFE0}"/>
    <cellStyle name="20% - Énfasis2 2 2 2 4 3" xfId="7381" xr:uid="{F64CB501-5442-43C6-8F65-7A95150D9E3B}"/>
    <cellStyle name="20% - Énfasis2 2 2 2 5" xfId="4015" xr:uid="{D75F323D-7657-4CD3-907A-97CD4D616F49}"/>
    <cellStyle name="20% - Énfasis2 2 2 2 5 2" xfId="8584" xr:uid="{A569A3B3-4117-4773-960F-960844587DE7}"/>
    <cellStyle name="20% - Énfasis2 2 2 2 6" xfId="6381" xr:uid="{805D31F7-4EDD-47C4-8262-43F23BB58FE7}"/>
    <cellStyle name="20% - Énfasis2 2 2 2 7" xfId="1367" xr:uid="{ABEB9088-F282-4C20-8359-C445918CA672}"/>
    <cellStyle name="20% - Énfasis2 2 2 3" xfId="1651" xr:uid="{465816DC-027C-4D1C-9204-0C5517B5CB8D}"/>
    <cellStyle name="20% - Énfasis2 2 2 3 2" xfId="2296" xr:uid="{67653538-D0A9-4FD0-8AD2-3046E7780F1E}"/>
    <cellStyle name="20% - Énfasis2 2 2 3 2 2" xfId="3307" xr:uid="{03885C02-3AD9-431C-9C1F-E5DE68F4D34C}"/>
    <cellStyle name="20% - Énfasis2 2 2 3 2 2 2" xfId="5731" xr:uid="{9026A21A-C67C-4D25-86D7-FC7C02BC6182}"/>
    <cellStyle name="20% - Énfasis2 2 2 3 2 2 2 2" xfId="10299" xr:uid="{DB274378-41AA-4D6D-AE73-67CE85DB64CE}"/>
    <cellStyle name="20% - Énfasis2 2 2 3 2 2 3" xfId="8007" xr:uid="{A43EA7B1-AD01-4903-B8E3-D35B0A6014AC}"/>
    <cellStyle name="20% - Énfasis2 2 2 3 2 3" xfId="4722" xr:uid="{3D4AFB1C-E90A-4E70-9D41-E23BEB96813B}"/>
    <cellStyle name="20% - Énfasis2 2 2 3 2 3 2" xfId="9290" xr:uid="{397F0B82-C046-4E32-ABE0-79B9BB7B1394}"/>
    <cellStyle name="20% - Énfasis2 2 2 3 2 4" xfId="6998" xr:uid="{E17193D1-EFED-4041-8DC8-6BEABE8ED1BB}"/>
    <cellStyle name="20% - Énfasis2 2 2 3 3" xfId="2879" xr:uid="{ADB49B40-05D0-4238-8706-FD4D7E404A44}"/>
    <cellStyle name="20% - Énfasis2 2 2 3 3 2" xfId="5303" xr:uid="{D27FD7FB-E79F-4DF1-B5E2-C516F6B6C233}"/>
    <cellStyle name="20% - Énfasis2 2 2 3 3 2 2" xfId="9871" xr:uid="{F278A8D2-726D-4043-AEE3-D35C4C061C07}"/>
    <cellStyle name="20% - Énfasis2 2 2 3 3 3" xfId="7579" xr:uid="{775AAD87-4C12-4FB2-9E8A-7BE769830EE1}"/>
    <cellStyle name="20% - Énfasis2 2 2 3 4" xfId="4294" xr:uid="{46CCA4C4-5C02-47EE-AD33-D8C99A0565E7}"/>
    <cellStyle name="20% - Énfasis2 2 2 3 4 2" xfId="8862" xr:uid="{D076A7FF-78CD-48B4-A178-E80D712C779C}"/>
    <cellStyle name="20% - Énfasis2 2 2 3 5" xfId="6570" xr:uid="{78FED699-BF74-4873-8EC4-B519C5B90030}"/>
    <cellStyle name="20% - Énfasis2 2 2 4" xfId="2001" xr:uid="{74245784-3BD2-4723-870F-A81CF021AFBD}"/>
    <cellStyle name="20% - Énfasis2 2 2 4 2" xfId="3120" xr:uid="{B4573D06-DE86-4248-B369-6E50D9690A9F}"/>
    <cellStyle name="20% - Énfasis2 2 2 4 2 2" xfId="5544" xr:uid="{FE8D5CB4-08B9-4AC2-AE6F-FB20767BCC03}"/>
    <cellStyle name="20% - Énfasis2 2 2 4 2 2 2" xfId="10112" xr:uid="{EC11BB0E-3891-44DE-A8F6-6F500441BDAB}"/>
    <cellStyle name="20% - Énfasis2 2 2 4 2 3" xfId="7820" xr:uid="{BA1747E2-397F-4463-95A7-A359C10009B0}"/>
    <cellStyle name="20% - Énfasis2 2 2 4 3" xfId="4535" xr:uid="{D55E966D-3733-4FF3-97E3-9ABC5BCE79AB}"/>
    <cellStyle name="20% - Énfasis2 2 2 4 3 2" xfId="9103" xr:uid="{7073DD2A-47E7-46EB-8173-429E86DD4147}"/>
    <cellStyle name="20% - Énfasis2 2 2 4 4" xfId="6811" xr:uid="{D3FD4400-BF32-4EF2-8A24-ACBF895D0BCA}"/>
    <cellStyle name="20% - Énfasis2 2 2 5" xfId="2678" xr:uid="{45BD3B1D-B4C2-46CE-B81C-433EBE4C3A49}"/>
    <cellStyle name="20% - Énfasis2 2 2 5 2" xfId="5104" xr:uid="{124F72AC-79FD-417D-8EDC-FA9A52C8F46E}"/>
    <cellStyle name="20% - Énfasis2 2 2 5 2 2" xfId="9672" xr:uid="{7C88BB3A-7273-4A16-BFF6-BDCC5157F591}"/>
    <cellStyle name="20% - Énfasis2 2 2 5 3" xfId="7380" xr:uid="{C059EC6E-82AF-461E-A35F-369377536747}"/>
    <cellStyle name="20% - Énfasis2 2 2 6" xfId="4014" xr:uid="{B3344675-5541-4413-9DBB-B433B70B6897}"/>
    <cellStyle name="20% - Énfasis2 2 2 6 2" xfId="8583" xr:uid="{15EF8A23-B348-4DD5-9FBB-025BBCA2FCDF}"/>
    <cellStyle name="20% - Énfasis2 2 2 7" xfId="6380" xr:uid="{953EC702-FA50-44E3-A38D-BFD16CE6C3F2}"/>
    <cellStyle name="20% - Énfasis2 2 2 8" xfId="1366" xr:uid="{CAF71E8F-B989-414A-A229-FAB8F822B200}"/>
    <cellStyle name="20% - Énfasis2 2 3" xfId="40" xr:uid="{00000000-0005-0000-0000-000023000000}"/>
    <cellStyle name="20% - Énfasis2 2 3 2" xfId="1653" xr:uid="{BE39DD0F-C256-4FDA-B7F3-FA845685574E}"/>
    <cellStyle name="20% - Énfasis2 2 3 2 2" xfId="2298" xr:uid="{83A95375-F8BF-4D99-A0CD-03E17CB947FC}"/>
    <cellStyle name="20% - Énfasis2 2 3 2 2 2" xfId="3309" xr:uid="{6FA3AED2-D36F-42A6-B308-736E793EF4A3}"/>
    <cellStyle name="20% - Énfasis2 2 3 2 2 2 2" xfId="5733" xr:uid="{1F19F80A-7E28-414D-AB1A-7B7318BDB27E}"/>
    <cellStyle name="20% - Énfasis2 2 3 2 2 2 2 2" xfId="10301" xr:uid="{D0D71501-2F7E-41B0-B96B-7E55959A987C}"/>
    <cellStyle name="20% - Énfasis2 2 3 2 2 2 3" xfId="8009" xr:uid="{83067FBF-75E2-4AAD-8860-96920821FF9D}"/>
    <cellStyle name="20% - Énfasis2 2 3 2 2 3" xfId="4724" xr:uid="{D98E0B5D-92AD-4DCA-8DEA-53366DE59655}"/>
    <cellStyle name="20% - Énfasis2 2 3 2 2 3 2" xfId="9292" xr:uid="{56E4C4B7-49B1-4A07-BC8C-1CDE6E1E655E}"/>
    <cellStyle name="20% - Énfasis2 2 3 2 2 4" xfId="7000" xr:uid="{22A6B312-7F29-47D1-98BB-1D74B825A06D}"/>
    <cellStyle name="20% - Énfasis2 2 3 2 3" xfId="2881" xr:uid="{9C7DFD1C-5F5C-41E6-BE7F-D113DE0421DF}"/>
    <cellStyle name="20% - Énfasis2 2 3 2 3 2" xfId="5305" xr:uid="{FD726CC4-86D6-47BD-96DC-408A42CC5AE2}"/>
    <cellStyle name="20% - Énfasis2 2 3 2 3 2 2" xfId="9873" xr:uid="{24C0D9FA-0BA7-4CAC-8333-EA177780DA69}"/>
    <cellStyle name="20% - Énfasis2 2 3 2 3 3" xfId="7581" xr:uid="{AB76B232-3701-484F-9709-BC96E4E0CD76}"/>
    <cellStyle name="20% - Énfasis2 2 3 2 4" xfId="4296" xr:uid="{BA6801A6-C092-4E5A-883A-959A8218D2D4}"/>
    <cellStyle name="20% - Énfasis2 2 3 2 4 2" xfId="8864" xr:uid="{928800E2-BD32-464E-AEFC-4A591EDA2C14}"/>
    <cellStyle name="20% - Énfasis2 2 3 2 5" xfId="6572" xr:uid="{3777FC19-3B34-458F-B30B-E001C13F34AE}"/>
    <cellStyle name="20% - Énfasis2 2 3 3" xfId="2003" xr:uid="{D8D4E831-74EA-4215-A38A-94687C505F36}"/>
    <cellStyle name="20% - Énfasis2 2 3 3 2" xfId="3122" xr:uid="{E5A82DA2-47C4-4788-9380-3368D9FC04FA}"/>
    <cellStyle name="20% - Énfasis2 2 3 3 2 2" xfId="5546" xr:uid="{BECDD263-3183-4FA0-815E-3B7E309EF9B9}"/>
    <cellStyle name="20% - Énfasis2 2 3 3 2 2 2" xfId="10114" xr:uid="{68835465-8BDD-4AC1-9889-A7ED9D9299AF}"/>
    <cellStyle name="20% - Énfasis2 2 3 3 2 3" xfId="7822" xr:uid="{28E2A845-DF01-4A8C-AACC-AFC20CB15F38}"/>
    <cellStyle name="20% - Énfasis2 2 3 3 3" xfId="4537" xr:uid="{164276A0-D52E-4CD8-A7E4-7CC0BC2B31A4}"/>
    <cellStyle name="20% - Énfasis2 2 3 3 3 2" xfId="9105" xr:uid="{B49F6B4E-9881-4A97-B6FD-6A56BDA519F0}"/>
    <cellStyle name="20% - Énfasis2 2 3 3 4" xfId="6813" xr:uid="{38EC93EA-72F7-42E4-BF83-A9441713BF26}"/>
    <cellStyle name="20% - Énfasis2 2 3 4" xfId="2680" xr:uid="{B6BA3A00-08B1-44EB-8FEE-80E1FDFA05C6}"/>
    <cellStyle name="20% - Énfasis2 2 3 4 2" xfId="5106" xr:uid="{5B834B07-707C-41C3-9C42-A577959583FB}"/>
    <cellStyle name="20% - Énfasis2 2 3 4 2 2" xfId="9674" xr:uid="{6549E4D0-1B9D-4795-9849-F3E92B2D7E50}"/>
    <cellStyle name="20% - Énfasis2 2 3 4 3" xfId="7382" xr:uid="{1866FB5D-7ED0-41D3-83B9-4A6056927347}"/>
    <cellStyle name="20% - Énfasis2 2 3 5" xfId="4016" xr:uid="{90B81C80-B8C9-4CF1-9B71-421ED124FC7D}"/>
    <cellStyle name="20% - Énfasis2 2 3 5 2" xfId="8585" xr:uid="{153854F5-61A0-439F-8B7E-A669AF53A8E4}"/>
    <cellStyle name="20% - Énfasis2 2 3 6" xfId="6382" xr:uid="{568FF699-874E-43C2-A14F-9E226F9E6CBF}"/>
    <cellStyle name="20% - Énfasis2 2 3 7" xfId="1368" xr:uid="{5BBDBC53-412E-4211-99F0-6C9F21EE9C2B}"/>
    <cellStyle name="20% - Énfasis2 2 4" xfId="1650" xr:uid="{5C475981-06C8-4BFD-9DB5-5DCE3B5E8A75}"/>
    <cellStyle name="20% - Énfasis2 2 4 2" xfId="2295" xr:uid="{A44D4954-22A3-4F86-9C32-7F9FCFB78B14}"/>
    <cellStyle name="20% - Énfasis2 2 4 2 2" xfId="3306" xr:uid="{A7434A6F-DFC0-4603-A091-CB2A65285CE4}"/>
    <cellStyle name="20% - Énfasis2 2 4 2 2 2" xfId="5730" xr:uid="{DFC020B8-AAC5-4B4B-BE60-92E3B32C2C56}"/>
    <cellStyle name="20% - Énfasis2 2 4 2 2 2 2" xfId="10298" xr:uid="{CF00C626-BAFB-4159-BA99-C1797F458867}"/>
    <cellStyle name="20% - Énfasis2 2 4 2 2 3" xfId="8006" xr:uid="{D3D8B85B-E677-4DE8-A64A-A680475C10E6}"/>
    <cellStyle name="20% - Énfasis2 2 4 2 3" xfId="4721" xr:uid="{B13DE571-B782-4356-9530-3A59A9D0373D}"/>
    <cellStyle name="20% - Énfasis2 2 4 2 3 2" xfId="9289" xr:uid="{75E907B0-BAE4-4F87-80D8-217A9835A74B}"/>
    <cellStyle name="20% - Énfasis2 2 4 2 4" xfId="6997" xr:uid="{5CB9F095-FE35-4961-95E8-2A0694C186D7}"/>
    <cellStyle name="20% - Énfasis2 2 4 3" xfId="2878" xr:uid="{074481DA-0D3C-456B-A235-A9E9793ECBB8}"/>
    <cellStyle name="20% - Énfasis2 2 4 3 2" xfId="5302" xr:uid="{449840F3-8DB8-4A5C-A939-FE413E558D9A}"/>
    <cellStyle name="20% - Énfasis2 2 4 3 2 2" xfId="9870" xr:uid="{6ADFA956-EFE1-4172-9792-CAED09884FEE}"/>
    <cellStyle name="20% - Énfasis2 2 4 3 3" xfId="7578" xr:uid="{3B796194-F3A5-4699-9931-DED504694DDD}"/>
    <cellStyle name="20% - Énfasis2 2 4 4" xfId="4293" xr:uid="{C25F35F9-DB90-495E-B342-3F076D5D4947}"/>
    <cellStyle name="20% - Énfasis2 2 4 4 2" xfId="8861" xr:uid="{44927164-EF0C-4BB4-B136-366F8C47F062}"/>
    <cellStyle name="20% - Énfasis2 2 4 5" xfId="6569" xr:uid="{4D1C9224-24B6-484A-8651-392725D36F95}"/>
    <cellStyle name="20% - Énfasis2 2 5" xfId="2000" xr:uid="{56A801BC-447D-42C4-A860-A85F0553A697}"/>
    <cellStyle name="20% - Énfasis2 2 5 2" xfId="3119" xr:uid="{D99F6F4E-62F4-4E53-AE9C-D3FF2343093B}"/>
    <cellStyle name="20% - Énfasis2 2 5 2 2" xfId="5543" xr:uid="{4A694B30-9BBB-4111-86D6-D8B65DE2ADCC}"/>
    <cellStyle name="20% - Énfasis2 2 5 2 2 2" xfId="10111" xr:uid="{4AB977ED-6C68-4A90-9C48-52DB3C838FE6}"/>
    <cellStyle name="20% - Énfasis2 2 5 2 3" xfId="7819" xr:uid="{80FC2A19-0086-4016-A8DA-E16D36F8358D}"/>
    <cellStyle name="20% - Énfasis2 2 5 3" xfId="4534" xr:uid="{B8FB568A-5459-41AC-A266-521E17BDB47D}"/>
    <cellStyle name="20% - Énfasis2 2 5 3 2" xfId="9102" xr:uid="{5A2F2146-CA27-44BE-B479-88141A1AE3AF}"/>
    <cellStyle name="20% - Énfasis2 2 5 4" xfId="6810" xr:uid="{A644F0D5-4860-4C0A-8971-0534E1B10CCF}"/>
    <cellStyle name="20% - Énfasis2 2 6" xfId="2677" xr:uid="{2CBFD2D7-B9D7-4E63-AA64-A5534469B8EF}"/>
    <cellStyle name="20% - Énfasis2 2 6 2" xfId="5103" xr:uid="{8B2F433D-C626-41B5-B5B9-EF2FEF8B3E11}"/>
    <cellStyle name="20% - Énfasis2 2 6 2 2" xfId="9671" xr:uid="{46DD9D06-D868-4392-B8D8-4C84E970A70C}"/>
    <cellStyle name="20% - Énfasis2 2 6 3" xfId="7379" xr:uid="{7EDA9786-D73F-4279-82A9-6F62D404EBC0}"/>
    <cellStyle name="20% - Énfasis2 2 7" xfId="4013" xr:uid="{83CD463F-1B65-48FC-A385-E6DB1B2A838A}"/>
    <cellStyle name="20% - Énfasis2 2 7 2" xfId="8582" xr:uid="{8E6F8B20-9B93-4D14-8755-BA973A102F2A}"/>
    <cellStyle name="20% - Énfasis2 2 8" xfId="6379" xr:uid="{0FED35A2-ADB1-494D-99A5-9FD78F5D1BE7}"/>
    <cellStyle name="20% - Énfasis2 2 9" xfId="1365" xr:uid="{DB7B28F4-6A36-4884-8145-64FE6ECA492C}"/>
    <cellStyle name="20% - Énfasis2 3" xfId="41" xr:uid="{00000000-0005-0000-0000-000024000000}"/>
    <cellStyle name="20% - Énfasis2 4" xfId="42" xr:uid="{00000000-0005-0000-0000-000025000000}"/>
    <cellStyle name="20% - Énfasis3 2" xfId="43" xr:uid="{00000000-0005-0000-0000-000026000000}"/>
    <cellStyle name="20% - Énfasis3 2 2" xfId="44" xr:uid="{00000000-0005-0000-0000-000027000000}"/>
    <cellStyle name="20% - Énfasis3 2 2 2" xfId="45" xr:uid="{00000000-0005-0000-0000-000028000000}"/>
    <cellStyle name="20% - Énfasis3 2 2 2 2" xfId="1656" xr:uid="{53938C0A-8610-43A0-A5ED-7FCD08DA227B}"/>
    <cellStyle name="20% - Énfasis3 2 2 2 2 2" xfId="2301" xr:uid="{DA2F0CEC-AB09-46ED-9FA8-99FE59D3EC1E}"/>
    <cellStyle name="20% - Énfasis3 2 2 2 2 2 2" xfId="3312" xr:uid="{B5CB86F0-72EC-426B-A095-E21F6A923FCB}"/>
    <cellStyle name="20% - Énfasis3 2 2 2 2 2 2 2" xfId="5736" xr:uid="{A6246EC5-07DA-4040-842B-846A3110836B}"/>
    <cellStyle name="20% - Énfasis3 2 2 2 2 2 2 2 2" xfId="10304" xr:uid="{D127E9F6-3CA2-4ED7-8E7D-73E6A8516D6A}"/>
    <cellStyle name="20% - Énfasis3 2 2 2 2 2 2 3" xfId="8012" xr:uid="{91209909-BDD2-4ABF-93C6-51D89CA0ADDA}"/>
    <cellStyle name="20% - Énfasis3 2 2 2 2 2 3" xfId="4727" xr:uid="{A1CC0B6D-4F36-45F7-8BD3-5DD8BB6F0AF0}"/>
    <cellStyle name="20% - Énfasis3 2 2 2 2 2 3 2" xfId="9295" xr:uid="{0EA8A9C0-2DD4-4C48-A331-B09CF583C120}"/>
    <cellStyle name="20% - Énfasis3 2 2 2 2 2 4" xfId="7003" xr:uid="{57B663DB-37C4-40B0-A24E-538BC4F84EC6}"/>
    <cellStyle name="20% - Énfasis3 2 2 2 2 3" xfId="2884" xr:uid="{AE36EFCF-0E1F-4921-9430-26622F858DA9}"/>
    <cellStyle name="20% - Énfasis3 2 2 2 2 3 2" xfId="5308" xr:uid="{E67A5408-599F-4ABE-B406-924300CB20B4}"/>
    <cellStyle name="20% - Énfasis3 2 2 2 2 3 2 2" xfId="9876" xr:uid="{C2251747-DAF0-4101-BC3E-05F50D6C99C1}"/>
    <cellStyle name="20% - Énfasis3 2 2 2 2 3 3" xfId="7584" xr:uid="{55D00A50-DC6F-4DD4-822E-7101B0513417}"/>
    <cellStyle name="20% - Énfasis3 2 2 2 2 4" xfId="4299" xr:uid="{44B97245-FD5C-407A-9F1B-C6DB009A2B50}"/>
    <cellStyle name="20% - Énfasis3 2 2 2 2 4 2" xfId="8867" xr:uid="{E16CA0EA-4691-4971-9B68-6FD9EC98956B}"/>
    <cellStyle name="20% - Énfasis3 2 2 2 2 5" xfId="6575" xr:uid="{ACC35E32-190E-4BFB-B1E9-8F438EBEC9A8}"/>
    <cellStyle name="20% - Énfasis3 2 2 2 3" xfId="2006" xr:uid="{3897C9B1-B5DE-4E0E-B7C7-60940E8BE0F1}"/>
    <cellStyle name="20% - Énfasis3 2 2 2 3 2" xfId="3125" xr:uid="{679D4DD3-A961-46DF-AF78-BCC9457FDC51}"/>
    <cellStyle name="20% - Énfasis3 2 2 2 3 2 2" xfId="5549" xr:uid="{506971E5-405D-407F-AEC3-496BFE30CA39}"/>
    <cellStyle name="20% - Énfasis3 2 2 2 3 2 2 2" xfId="10117" xr:uid="{F862109F-2E52-4ACD-910E-F8A47A5F111B}"/>
    <cellStyle name="20% - Énfasis3 2 2 2 3 2 3" xfId="7825" xr:uid="{CD29E993-5F09-480E-B8FB-C233697331C1}"/>
    <cellStyle name="20% - Énfasis3 2 2 2 3 3" xfId="4540" xr:uid="{E6F8F282-2A6F-469C-81E9-B5E688663FD2}"/>
    <cellStyle name="20% - Énfasis3 2 2 2 3 3 2" xfId="9108" xr:uid="{30E93221-AE43-400A-B769-EE496EEBC6CE}"/>
    <cellStyle name="20% - Énfasis3 2 2 2 3 4" xfId="6816" xr:uid="{58934A11-58DE-49C5-992E-7AA473568CBB}"/>
    <cellStyle name="20% - Énfasis3 2 2 2 4" xfId="2683" xr:uid="{A454028A-71AB-47DF-A90F-FD7EF722EF49}"/>
    <cellStyle name="20% - Énfasis3 2 2 2 4 2" xfId="5109" xr:uid="{7C83D5F1-9B30-4B41-B420-5B91EBB80C9F}"/>
    <cellStyle name="20% - Énfasis3 2 2 2 4 2 2" xfId="9677" xr:uid="{01DD08E6-F677-4764-B241-5971323234A7}"/>
    <cellStyle name="20% - Énfasis3 2 2 2 4 3" xfId="7385" xr:uid="{E4539773-D18D-458E-8CF8-09E7936D33BD}"/>
    <cellStyle name="20% - Énfasis3 2 2 2 5" xfId="4019" xr:uid="{E785CA55-8330-4B24-BB57-7DFD3FF2ED2B}"/>
    <cellStyle name="20% - Énfasis3 2 2 2 5 2" xfId="8588" xr:uid="{B37FE270-500E-434C-9FAC-F7D048C39E6B}"/>
    <cellStyle name="20% - Énfasis3 2 2 2 6" xfId="6385" xr:uid="{57956566-9BC4-4C6D-828B-01739ECCA602}"/>
    <cellStyle name="20% - Énfasis3 2 2 2 7" xfId="1371" xr:uid="{281AF037-BBC2-43D6-8AE4-AD2950F42667}"/>
    <cellStyle name="20% - Énfasis3 2 2 3" xfId="1655" xr:uid="{D56AFD04-541A-4E81-BCF2-39BCBAA10275}"/>
    <cellStyle name="20% - Énfasis3 2 2 3 2" xfId="2300" xr:uid="{ADBD9149-4FC6-4C2B-96CD-23EBCBB4DD53}"/>
    <cellStyle name="20% - Énfasis3 2 2 3 2 2" xfId="3311" xr:uid="{E330FFD5-2F8C-4333-8E44-2FDC88419017}"/>
    <cellStyle name="20% - Énfasis3 2 2 3 2 2 2" xfId="5735" xr:uid="{6AFE9D6A-6603-4582-B97C-83B2297A2060}"/>
    <cellStyle name="20% - Énfasis3 2 2 3 2 2 2 2" xfId="10303" xr:uid="{490BF1AD-D600-49EA-85A6-93F10007A5CF}"/>
    <cellStyle name="20% - Énfasis3 2 2 3 2 2 3" xfId="8011" xr:uid="{053EE11B-0282-49DC-8362-967F7599A040}"/>
    <cellStyle name="20% - Énfasis3 2 2 3 2 3" xfId="4726" xr:uid="{CC570928-12F9-4F3D-9143-C9117E41734E}"/>
    <cellStyle name="20% - Énfasis3 2 2 3 2 3 2" xfId="9294" xr:uid="{BEB33163-ED70-472A-92E4-02048B700EC9}"/>
    <cellStyle name="20% - Énfasis3 2 2 3 2 4" xfId="7002" xr:uid="{9DA00649-85FA-4C55-8578-A1A6B61B6254}"/>
    <cellStyle name="20% - Énfasis3 2 2 3 3" xfId="2883" xr:uid="{0C310B6D-9813-49CF-B788-AF0A0B7525F3}"/>
    <cellStyle name="20% - Énfasis3 2 2 3 3 2" xfId="5307" xr:uid="{D2CF7966-2490-4FE2-983A-05D9A0B9BD55}"/>
    <cellStyle name="20% - Énfasis3 2 2 3 3 2 2" xfId="9875" xr:uid="{38616F32-6E7C-4B7D-9804-C5702647320E}"/>
    <cellStyle name="20% - Énfasis3 2 2 3 3 3" xfId="7583" xr:uid="{9C61B466-88C8-4872-BEAA-8703D6B738C8}"/>
    <cellStyle name="20% - Énfasis3 2 2 3 4" xfId="4298" xr:uid="{6BC8AAD0-DACF-4857-8C22-CBD611D1ACF0}"/>
    <cellStyle name="20% - Énfasis3 2 2 3 4 2" xfId="8866" xr:uid="{8A7AEF0C-3919-411E-A6BF-09F4AA685DA0}"/>
    <cellStyle name="20% - Énfasis3 2 2 3 5" xfId="6574" xr:uid="{5A89D7D1-25D3-40D2-9743-0A17E5492663}"/>
    <cellStyle name="20% - Énfasis3 2 2 4" xfId="2005" xr:uid="{66486C1B-67C7-45CA-A25E-BC859A0A67D7}"/>
    <cellStyle name="20% - Énfasis3 2 2 4 2" xfId="3124" xr:uid="{1D325063-0212-49E5-8772-A40722E55127}"/>
    <cellStyle name="20% - Énfasis3 2 2 4 2 2" xfId="5548" xr:uid="{330A0841-EE50-4827-99B4-657147AB4F7C}"/>
    <cellStyle name="20% - Énfasis3 2 2 4 2 2 2" xfId="10116" xr:uid="{ED0B5294-5C5A-40DC-AE25-2C5BC6799802}"/>
    <cellStyle name="20% - Énfasis3 2 2 4 2 3" xfId="7824" xr:uid="{922E88AE-6BB9-4986-8F9E-8AA7A9A56E90}"/>
    <cellStyle name="20% - Énfasis3 2 2 4 3" xfId="4539" xr:uid="{367EE869-D7C8-432D-8B62-194F553FF4CB}"/>
    <cellStyle name="20% - Énfasis3 2 2 4 3 2" xfId="9107" xr:uid="{70419B7D-2AC3-4ED2-B9B3-B34AAEE6643D}"/>
    <cellStyle name="20% - Énfasis3 2 2 4 4" xfId="6815" xr:uid="{74D5DF18-2D8C-4529-9737-E731379F1178}"/>
    <cellStyle name="20% - Énfasis3 2 2 5" xfId="2682" xr:uid="{E2690705-1E0D-4DCF-9CFA-3D062907BA54}"/>
    <cellStyle name="20% - Énfasis3 2 2 5 2" xfId="5108" xr:uid="{4B7CB35C-31D6-4879-B824-1788A51A5077}"/>
    <cellStyle name="20% - Énfasis3 2 2 5 2 2" xfId="9676" xr:uid="{4A51F492-B05E-4143-B716-00C28BE1CB7F}"/>
    <cellStyle name="20% - Énfasis3 2 2 5 3" xfId="7384" xr:uid="{97A16629-B379-4912-B7E4-B11C03C30281}"/>
    <cellStyle name="20% - Énfasis3 2 2 6" xfId="4018" xr:uid="{615C32CB-8EFC-4F0E-8C25-D755EEDAA89C}"/>
    <cellStyle name="20% - Énfasis3 2 2 6 2" xfId="8587" xr:uid="{AC2AE5BC-E742-442E-B770-553B7E21D1FE}"/>
    <cellStyle name="20% - Énfasis3 2 2 7" xfId="6384" xr:uid="{5279446D-4B09-4770-A6C3-036526C1060E}"/>
    <cellStyle name="20% - Énfasis3 2 2 8" xfId="1370" xr:uid="{EAA76379-A71E-4164-8F7B-335FBCF55836}"/>
    <cellStyle name="20% - Énfasis3 2 3" xfId="46" xr:uid="{00000000-0005-0000-0000-000029000000}"/>
    <cellStyle name="20% - Énfasis3 2 3 2" xfId="1657" xr:uid="{7B538035-57ED-4FCC-BF16-A8464754D6ED}"/>
    <cellStyle name="20% - Énfasis3 2 3 2 2" xfId="2302" xr:uid="{EAF4D3BF-B119-4EC8-8E9E-BE6B305BBC9A}"/>
    <cellStyle name="20% - Énfasis3 2 3 2 2 2" xfId="3313" xr:uid="{A69C5078-A1B0-4B54-A569-07C1DA6172BF}"/>
    <cellStyle name="20% - Énfasis3 2 3 2 2 2 2" xfId="5737" xr:uid="{C1A8D6ED-F3C8-4D68-92E0-F4A52C6644E2}"/>
    <cellStyle name="20% - Énfasis3 2 3 2 2 2 2 2" xfId="10305" xr:uid="{F22745DB-0468-42E1-8287-4427D1EB5103}"/>
    <cellStyle name="20% - Énfasis3 2 3 2 2 2 3" xfId="8013" xr:uid="{2B64E511-9DE5-4280-BC8A-4E2E299FF951}"/>
    <cellStyle name="20% - Énfasis3 2 3 2 2 3" xfId="4728" xr:uid="{37F8249C-726A-4F74-B58D-F26591CDEF4F}"/>
    <cellStyle name="20% - Énfasis3 2 3 2 2 3 2" xfId="9296" xr:uid="{636FC199-2B70-4CC6-8ADB-0D53426CEF87}"/>
    <cellStyle name="20% - Énfasis3 2 3 2 2 4" xfId="7004" xr:uid="{F999A28E-7A74-452F-A95C-A7593ABFB218}"/>
    <cellStyle name="20% - Énfasis3 2 3 2 3" xfId="2885" xr:uid="{A48F91F9-7D22-4AC0-9B0E-A4CFCAEB9FFC}"/>
    <cellStyle name="20% - Énfasis3 2 3 2 3 2" xfId="5309" xr:uid="{0499FB6D-4035-40B6-A5D4-7E5C7EB2A868}"/>
    <cellStyle name="20% - Énfasis3 2 3 2 3 2 2" xfId="9877" xr:uid="{8BA5A49C-3975-46B3-95ED-3C51FAD7CC28}"/>
    <cellStyle name="20% - Énfasis3 2 3 2 3 3" xfId="7585" xr:uid="{22F43BB2-4226-47CA-B563-D7D13FE61D1D}"/>
    <cellStyle name="20% - Énfasis3 2 3 2 4" xfId="4300" xr:uid="{A71EB37A-DDE9-4BB3-B3BE-91AF4FBFEA80}"/>
    <cellStyle name="20% - Énfasis3 2 3 2 4 2" xfId="8868" xr:uid="{F93078E1-7C1B-4150-A5DE-41BEBB396C23}"/>
    <cellStyle name="20% - Énfasis3 2 3 2 5" xfId="6576" xr:uid="{C12104A7-F5C6-4D6B-BE94-DA2E11B5B43B}"/>
    <cellStyle name="20% - Énfasis3 2 3 3" xfId="2007" xr:uid="{4144EA07-0DC9-4400-BCD1-D22FFC5FED7E}"/>
    <cellStyle name="20% - Énfasis3 2 3 3 2" xfId="3126" xr:uid="{B630BC16-7FF3-47F7-88D3-C8223B371A71}"/>
    <cellStyle name="20% - Énfasis3 2 3 3 2 2" xfId="5550" xr:uid="{BC0EFFEF-BD15-48D8-9537-C8A2D008FD86}"/>
    <cellStyle name="20% - Énfasis3 2 3 3 2 2 2" xfId="10118" xr:uid="{A353F2F6-E4A9-401B-917F-803D54FF51EB}"/>
    <cellStyle name="20% - Énfasis3 2 3 3 2 3" xfId="7826" xr:uid="{531AEDF3-F491-4F9B-8375-69DFB5306965}"/>
    <cellStyle name="20% - Énfasis3 2 3 3 3" xfId="4541" xr:uid="{7584B363-F4B2-42D0-9CEA-A65E14503B8D}"/>
    <cellStyle name="20% - Énfasis3 2 3 3 3 2" xfId="9109" xr:uid="{1DBC6E58-5F7C-4833-A6BF-4F93F7553C6F}"/>
    <cellStyle name="20% - Énfasis3 2 3 3 4" xfId="6817" xr:uid="{FDADCF2F-8398-4780-8780-3364A61AB59B}"/>
    <cellStyle name="20% - Énfasis3 2 3 4" xfId="2684" xr:uid="{43026910-8406-4404-A0C2-F81B151A1341}"/>
    <cellStyle name="20% - Énfasis3 2 3 4 2" xfId="5110" xr:uid="{F181F571-017B-4830-A8F3-FE8139BDB698}"/>
    <cellStyle name="20% - Énfasis3 2 3 4 2 2" xfId="9678" xr:uid="{6E1CD47F-3BA8-4744-97BF-4A4825E92DAB}"/>
    <cellStyle name="20% - Énfasis3 2 3 4 3" xfId="7386" xr:uid="{6E0E7C31-E11C-4560-9EA1-70E3590DED05}"/>
    <cellStyle name="20% - Énfasis3 2 3 5" xfId="4020" xr:uid="{804230DD-18A0-4338-8E7D-FD793ECD96FF}"/>
    <cellStyle name="20% - Énfasis3 2 3 5 2" xfId="8589" xr:uid="{0ECA2343-35E0-4704-B5B7-82C03DA5FD3D}"/>
    <cellStyle name="20% - Énfasis3 2 3 6" xfId="6386" xr:uid="{F1B8456C-0A89-4B0F-9EFF-E72288D2AD47}"/>
    <cellStyle name="20% - Énfasis3 2 3 7" xfId="1372" xr:uid="{B397E074-7BDA-4A1B-8224-6EE9FDF5240D}"/>
    <cellStyle name="20% - Énfasis3 2 4" xfId="1654" xr:uid="{CC372BDA-0CD7-4BC4-B90D-B411694C9E3A}"/>
    <cellStyle name="20% - Énfasis3 2 4 2" xfId="2299" xr:uid="{77666202-A002-463D-BB25-E4A6EF20FF25}"/>
    <cellStyle name="20% - Énfasis3 2 4 2 2" xfId="3310" xr:uid="{B603DD61-3390-4D25-840F-6C1A66EAAEFB}"/>
    <cellStyle name="20% - Énfasis3 2 4 2 2 2" xfId="5734" xr:uid="{233C1251-F65C-4E8B-9F7E-08A0CC94671E}"/>
    <cellStyle name="20% - Énfasis3 2 4 2 2 2 2" xfId="10302" xr:uid="{C7E05793-B964-4A5C-AF07-E4DCACF96FCF}"/>
    <cellStyle name="20% - Énfasis3 2 4 2 2 3" xfId="8010" xr:uid="{221F5101-77F8-4F87-AEED-837020A9AE14}"/>
    <cellStyle name="20% - Énfasis3 2 4 2 3" xfId="4725" xr:uid="{D1D368A8-8CBF-4E9A-AD84-2596C731E605}"/>
    <cellStyle name="20% - Énfasis3 2 4 2 3 2" xfId="9293" xr:uid="{29E52909-E6EB-4A24-B4AA-6EDEF0569221}"/>
    <cellStyle name="20% - Énfasis3 2 4 2 4" xfId="7001" xr:uid="{871D5686-71B9-4D72-B7F8-93D43BB9610A}"/>
    <cellStyle name="20% - Énfasis3 2 4 3" xfId="2882" xr:uid="{404B88F4-5E58-4EA5-A637-78BF533C4E44}"/>
    <cellStyle name="20% - Énfasis3 2 4 3 2" xfId="5306" xr:uid="{04429342-8B08-4991-835E-81CC5B56F317}"/>
    <cellStyle name="20% - Énfasis3 2 4 3 2 2" xfId="9874" xr:uid="{D866C11E-A93D-4B4E-BFA8-330F50343DF9}"/>
    <cellStyle name="20% - Énfasis3 2 4 3 3" xfId="7582" xr:uid="{F3D9D647-90F7-421F-B9D5-AF85A97529B6}"/>
    <cellStyle name="20% - Énfasis3 2 4 4" xfId="4297" xr:uid="{EACE631B-FE7E-4A4D-B4BB-7D85F28FE5F7}"/>
    <cellStyle name="20% - Énfasis3 2 4 4 2" xfId="8865" xr:uid="{8411BC2B-87D0-4875-91CF-D9F57B8A3F97}"/>
    <cellStyle name="20% - Énfasis3 2 4 5" xfId="6573" xr:uid="{61FB54D9-7F60-4A6A-B311-F7624A84E752}"/>
    <cellStyle name="20% - Énfasis3 2 5" xfId="2004" xr:uid="{4AF0EFDE-BD45-4411-AEE4-7C480B2BEDCD}"/>
    <cellStyle name="20% - Énfasis3 2 5 2" xfId="3123" xr:uid="{6A3BC4B0-AF77-4E19-98D8-96056926CA54}"/>
    <cellStyle name="20% - Énfasis3 2 5 2 2" xfId="5547" xr:uid="{FF96030C-C480-48C5-931D-EF759A3F0570}"/>
    <cellStyle name="20% - Énfasis3 2 5 2 2 2" xfId="10115" xr:uid="{455695EA-9EA0-4221-A074-40F868ACD6BC}"/>
    <cellStyle name="20% - Énfasis3 2 5 2 3" xfId="7823" xr:uid="{3E094844-573F-468E-B41E-240E8319D323}"/>
    <cellStyle name="20% - Énfasis3 2 5 3" xfId="4538" xr:uid="{E406D41A-C848-43E1-B3DE-A150281394DF}"/>
    <cellStyle name="20% - Énfasis3 2 5 3 2" xfId="9106" xr:uid="{FEC54FC7-5857-43B6-95A4-6280C5CCB4EA}"/>
    <cellStyle name="20% - Énfasis3 2 5 4" xfId="6814" xr:uid="{5BDF8892-72F5-4BCC-B5EF-11FE9796AAB6}"/>
    <cellStyle name="20% - Énfasis3 2 6" xfId="2681" xr:uid="{EA410B84-1523-417E-9432-9DC9E1D3C796}"/>
    <cellStyle name="20% - Énfasis3 2 6 2" xfId="5107" xr:uid="{E43E4F46-6737-4631-ADE3-88D58D76DC6B}"/>
    <cellStyle name="20% - Énfasis3 2 6 2 2" xfId="9675" xr:uid="{B28CFD41-384F-4980-823F-9ACD1B1E53D7}"/>
    <cellStyle name="20% - Énfasis3 2 6 3" xfId="7383" xr:uid="{AB64DC39-0CCE-4D02-A1D6-6806A8F262E1}"/>
    <cellStyle name="20% - Énfasis3 2 7" xfId="4017" xr:uid="{90C4015C-2402-4649-9085-E75AFCD9E256}"/>
    <cellStyle name="20% - Énfasis3 2 7 2" xfId="8586" xr:uid="{357C7158-C172-424B-9356-7F24C25B7E5C}"/>
    <cellStyle name="20% - Énfasis3 2 8" xfId="6383" xr:uid="{3540F189-1B32-42F6-8EC8-3826B6F2E860}"/>
    <cellStyle name="20% - Énfasis3 2 9" xfId="1369" xr:uid="{A2E2444E-6CBE-4B19-A9E3-82F4AC5279F1}"/>
    <cellStyle name="20% - Énfasis3 3" xfId="47" xr:uid="{00000000-0005-0000-0000-00002A000000}"/>
    <cellStyle name="20% - Énfasis3 4" xfId="48" xr:uid="{00000000-0005-0000-0000-00002B000000}"/>
    <cellStyle name="20% - Énfasis4 2" xfId="49" xr:uid="{00000000-0005-0000-0000-00002C000000}"/>
    <cellStyle name="20% - Énfasis4 2 2" xfId="50" xr:uid="{00000000-0005-0000-0000-00002D000000}"/>
    <cellStyle name="20% - Énfasis4 2 2 2" xfId="51" xr:uid="{00000000-0005-0000-0000-00002E000000}"/>
    <cellStyle name="20% - Énfasis4 2 2 2 2" xfId="1660" xr:uid="{649B69EC-357D-49BD-A6A6-97E50BA2046C}"/>
    <cellStyle name="20% - Énfasis4 2 2 2 2 2" xfId="2305" xr:uid="{C723155F-D0A5-4E9D-AB57-C3BFCB049172}"/>
    <cellStyle name="20% - Énfasis4 2 2 2 2 2 2" xfId="3316" xr:uid="{6B38AC6D-673A-4743-A231-E2FDDBEB5F70}"/>
    <cellStyle name="20% - Énfasis4 2 2 2 2 2 2 2" xfId="5740" xr:uid="{6A6B1DAF-DD93-44AE-9416-F972B1CE9D3F}"/>
    <cellStyle name="20% - Énfasis4 2 2 2 2 2 2 2 2" xfId="10308" xr:uid="{09940263-D7ED-47CA-9388-1B7B4F4D5CFC}"/>
    <cellStyle name="20% - Énfasis4 2 2 2 2 2 2 3" xfId="8016" xr:uid="{CF73B4A2-C888-4F8E-9A0A-AFDC53B801E5}"/>
    <cellStyle name="20% - Énfasis4 2 2 2 2 2 3" xfId="4731" xr:uid="{5D555C91-AE4A-4C72-B14F-6C6837A49D28}"/>
    <cellStyle name="20% - Énfasis4 2 2 2 2 2 3 2" xfId="9299" xr:uid="{211C10FB-2964-4337-8D44-F07C3A03BF17}"/>
    <cellStyle name="20% - Énfasis4 2 2 2 2 2 4" xfId="7007" xr:uid="{8D341A73-23E4-4F65-AB98-F4DC485840C7}"/>
    <cellStyle name="20% - Énfasis4 2 2 2 2 3" xfId="2888" xr:uid="{A64C53AA-0126-46AD-AD13-963E8556C13D}"/>
    <cellStyle name="20% - Énfasis4 2 2 2 2 3 2" xfId="5312" xr:uid="{C5C2DB2A-E767-4C77-B50B-16C8C87E812C}"/>
    <cellStyle name="20% - Énfasis4 2 2 2 2 3 2 2" xfId="9880" xr:uid="{70D9E0B9-9018-4673-8D8D-38FF1B29C097}"/>
    <cellStyle name="20% - Énfasis4 2 2 2 2 3 3" xfId="7588" xr:uid="{F3A7599E-39F0-41A4-9414-C1B6AA5ABEF8}"/>
    <cellStyle name="20% - Énfasis4 2 2 2 2 4" xfId="4303" xr:uid="{C3BD4C1A-4978-40A2-BF92-B891EB174C52}"/>
    <cellStyle name="20% - Énfasis4 2 2 2 2 4 2" xfId="8871" xr:uid="{96E367FD-F27B-48E9-B306-AC0C287A2415}"/>
    <cellStyle name="20% - Énfasis4 2 2 2 2 5" xfId="6579" xr:uid="{76D46AB7-5AAF-457B-AD9A-DD8950B38705}"/>
    <cellStyle name="20% - Énfasis4 2 2 2 3" xfId="2010" xr:uid="{2B8543DB-0E3C-4A77-B4A2-B9F0EC870B23}"/>
    <cellStyle name="20% - Énfasis4 2 2 2 3 2" xfId="3129" xr:uid="{3FACC747-173A-4A82-A744-B92112DDA9B5}"/>
    <cellStyle name="20% - Énfasis4 2 2 2 3 2 2" xfId="5553" xr:uid="{4738E019-4B97-457B-AB60-CC38FAD8CE47}"/>
    <cellStyle name="20% - Énfasis4 2 2 2 3 2 2 2" xfId="10121" xr:uid="{F06395E1-3854-4CF3-B649-03C06B6B98CB}"/>
    <cellStyle name="20% - Énfasis4 2 2 2 3 2 3" xfId="7829" xr:uid="{52715C70-4EB1-4599-8BC1-65A0E9E98780}"/>
    <cellStyle name="20% - Énfasis4 2 2 2 3 3" xfId="4544" xr:uid="{98D9787B-4724-4DB4-8DD2-C5FECD55E2B1}"/>
    <cellStyle name="20% - Énfasis4 2 2 2 3 3 2" xfId="9112" xr:uid="{3A7129A9-0B0D-4F9C-87F3-5E33A0006BDA}"/>
    <cellStyle name="20% - Énfasis4 2 2 2 3 4" xfId="6820" xr:uid="{90F87F3B-0398-4118-B10F-5A81983E788B}"/>
    <cellStyle name="20% - Énfasis4 2 2 2 4" xfId="2687" xr:uid="{D102EF74-24FB-42C4-8B23-48441407E484}"/>
    <cellStyle name="20% - Énfasis4 2 2 2 4 2" xfId="5113" xr:uid="{BDA82ACF-5689-4D98-A472-CB6CBDFF79CE}"/>
    <cellStyle name="20% - Énfasis4 2 2 2 4 2 2" xfId="9681" xr:uid="{C8632E42-FDC1-4FB3-9003-2896AEC89004}"/>
    <cellStyle name="20% - Énfasis4 2 2 2 4 3" xfId="7389" xr:uid="{AFD27217-D176-4F04-BB3C-170B22A73454}"/>
    <cellStyle name="20% - Énfasis4 2 2 2 5" xfId="4023" xr:uid="{7357CB5A-F1EF-4A77-A834-BEFD48EE0B8B}"/>
    <cellStyle name="20% - Énfasis4 2 2 2 5 2" xfId="8592" xr:uid="{E7D54872-6C55-4E3A-962A-5866CA456089}"/>
    <cellStyle name="20% - Énfasis4 2 2 2 6" xfId="6389" xr:uid="{8661C835-D560-4770-93A7-9A5B9CB7B87C}"/>
    <cellStyle name="20% - Énfasis4 2 2 2 7" xfId="1375" xr:uid="{4F37C438-1A9A-4973-BAAC-C9D71E30AF10}"/>
    <cellStyle name="20% - Énfasis4 2 2 3" xfId="1659" xr:uid="{53C73C61-3594-48A9-9B34-D61EDFA50E48}"/>
    <cellStyle name="20% - Énfasis4 2 2 3 2" xfId="2304" xr:uid="{BF216962-6818-4F8A-ADCA-622DAEC953A7}"/>
    <cellStyle name="20% - Énfasis4 2 2 3 2 2" xfId="3315" xr:uid="{A683F500-96BB-437E-BDE7-DC223DF09B0E}"/>
    <cellStyle name="20% - Énfasis4 2 2 3 2 2 2" xfId="5739" xr:uid="{4F0F482D-8CAC-49FD-9536-0C2C555CC120}"/>
    <cellStyle name="20% - Énfasis4 2 2 3 2 2 2 2" xfId="10307" xr:uid="{F55DE31A-8939-474B-8B24-C0B207F100C8}"/>
    <cellStyle name="20% - Énfasis4 2 2 3 2 2 3" xfId="8015" xr:uid="{8BEF42EB-BC84-410F-9F5D-5D0173CEACB1}"/>
    <cellStyle name="20% - Énfasis4 2 2 3 2 3" xfId="4730" xr:uid="{0036859B-E780-4DE1-9F83-53D56B886743}"/>
    <cellStyle name="20% - Énfasis4 2 2 3 2 3 2" xfId="9298" xr:uid="{FEC4DB15-DCB9-45A1-B7A6-A8CD3D600012}"/>
    <cellStyle name="20% - Énfasis4 2 2 3 2 4" xfId="7006" xr:uid="{DDC368C8-38FC-4E51-B900-0B091A55E882}"/>
    <cellStyle name="20% - Énfasis4 2 2 3 3" xfId="2887" xr:uid="{2CD5AC3B-1B34-4123-9750-9D12DD8821E4}"/>
    <cellStyle name="20% - Énfasis4 2 2 3 3 2" xfId="5311" xr:uid="{5E8E59A2-CA84-4AFD-B104-378CEE791C67}"/>
    <cellStyle name="20% - Énfasis4 2 2 3 3 2 2" xfId="9879" xr:uid="{65A647EB-B44B-4FB8-9007-2347280ED0FA}"/>
    <cellStyle name="20% - Énfasis4 2 2 3 3 3" xfId="7587" xr:uid="{8EA67AF2-7292-4A41-BE50-B2EA83E5F0E1}"/>
    <cellStyle name="20% - Énfasis4 2 2 3 4" xfId="4302" xr:uid="{62C0C9B6-A9C1-4CC4-ADA5-088DD27AD278}"/>
    <cellStyle name="20% - Énfasis4 2 2 3 4 2" xfId="8870" xr:uid="{4E926E76-41CD-4795-846E-D0F7773F6D84}"/>
    <cellStyle name="20% - Énfasis4 2 2 3 5" xfId="6578" xr:uid="{9D35AF5D-D47E-4539-A74E-DCFC93D44128}"/>
    <cellStyle name="20% - Énfasis4 2 2 4" xfId="2009" xr:uid="{2DFF7C53-A282-4414-A664-3CCDC9348444}"/>
    <cellStyle name="20% - Énfasis4 2 2 4 2" xfId="3128" xr:uid="{5F67057E-FDD3-4E62-A310-5654919D6A4F}"/>
    <cellStyle name="20% - Énfasis4 2 2 4 2 2" xfId="5552" xr:uid="{7C0E2EFD-9541-42F0-89D3-3800AE954357}"/>
    <cellStyle name="20% - Énfasis4 2 2 4 2 2 2" xfId="10120" xr:uid="{3B8425A7-E748-4974-A346-EE649C0CB2DE}"/>
    <cellStyle name="20% - Énfasis4 2 2 4 2 3" xfId="7828" xr:uid="{8BEC5D0F-8E46-4523-925C-CA87DB504CAD}"/>
    <cellStyle name="20% - Énfasis4 2 2 4 3" xfId="4543" xr:uid="{7CBFC932-E41B-44B9-9B71-6C3300F43EE3}"/>
    <cellStyle name="20% - Énfasis4 2 2 4 3 2" xfId="9111" xr:uid="{238F05ED-E363-447D-91D4-213B3929F38D}"/>
    <cellStyle name="20% - Énfasis4 2 2 4 4" xfId="6819" xr:uid="{6EB8484A-22FE-4C6A-BBAF-82F490557BEC}"/>
    <cellStyle name="20% - Énfasis4 2 2 5" xfId="2686" xr:uid="{90355A05-4163-4FDF-94B0-744B00096489}"/>
    <cellStyle name="20% - Énfasis4 2 2 5 2" xfId="5112" xr:uid="{BBA1DE99-1872-4988-BBC2-301D9F897217}"/>
    <cellStyle name="20% - Énfasis4 2 2 5 2 2" xfId="9680" xr:uid="{3504CEF3-84FB-4C8E-8E35-F3843B6B2A82}"/>
    <cellStyle name="20% - Énfasis4 2 2 5 3" xfId="7388" xr:uid="{BECC5A2B-65C4-4A1C-B708-D234D7853B8E}"/>
    <cellStyle name="20% - Énfasis4 2 2 6" xfId="4022" xr:uid="{5BF9F5EF-468E-4E33-987C-F3F36092FF76}"/>
    <cellStyle name="20% - Énfasis4 2 2 6 2" xfId="8591" xr:uid="{CC30D649-5995-4263-BC4B-FC5D1B79A90B}"/>
    <cellStyle name="20% - Énfasis4 2 2 7" xfId="6388" xr:uid="{4B353607-DE65-4F38-9924-444139D284F7}"/>
    <cellStyle name="20% - Énfasis4 2 2 8" xfId="1374" xr:uid="{7765108C-DE6D-4555-9C5E-EAD6DBA4C4B8}"/>
    <cellStyle name="20% - Énfasis4 2 3" xfId="52" xr:uid="{00000000-0005-0000-0000-00002F000000}"/>
    <cellStyle name="20% - Énfasis4 2 3 2" xfId="1661" xr:uid="{3F83CDC8-11AF-4B96-921F-686A333B517A}"/>
    <cellStyle name="20% - Énfasis4 2 3 2 2" xfId="2306" xr:uid="{1AA9B6D9-5707-47AF-8416-1C3380206C4F}"/>
    <cellStyle name="20% - Énfasis4 2 3 2 2 2" xfId="3317" xr:uid="{661D6029-C538-4123-A8E9-B10597ED37FF}"/>
    <cellStyle name="20% - Énfasis4 2 3 2 2 2 2" xfId="5741" xr:uid="{2960C86B-EF8F-48AF-9D9B-13C27B6B3A7A}"/>
    <cellStyle name="20% - Énfasis4 2 3 2 2 2 2 2" xfId="10309" xr:uid="{404104AD-141B-4D4A-A223-46D8F24AAEA3}"/>
    <cellStyle name="20% - Énfasis4 2 3 2 2 2 3" xfId="8017" xr:uid="{F6B4459C-00CE-46B4-A909-D2D59315D08B}"/>
    <cellStyle name="20% - Énfasis4 2 3 2 2 3" xfId="4732" xr:uid="{553277BC-5271-4B5E-945F-20292C7BB47A}"/>
    <cellStyle name="20% - Énfasis4 2 3 2 2 3 2" xfId="9300" xr:uid="{D88E483B-A2AF-4630-BEBF-FC1F1D4341EF}"/>
    <cellStyle name="20% - Énfasis4 2 3 2 2 4" xfId="7008" xr:uid="{0D78E835-5DFF-478F-9E2B-5668F3633BA0}"/>
    <cellStyle name="20% - Énfasis4 2 3 2 3" xfId="2889" xr:uid="{C7E163D2-06A7-4D2D-8201-86DED2435E44}"/>
    <cellStyle name="20% - Énfasis4 2 3 2 3 2" xfId="5313" xr:uid="{29949F2B-C0A9-4F41-A2EC-0BD058BD565E}"/>
    <cellStyle name="20% - Énfasis4 2 3 2 3 2 2" xfId="9881" xr:uid="{A8C3128D-9B52-41D9-BF1F-50B874DCFD75}"/>
    <cellStyle name="20% - Énfasis4 2 3 2 3 3" xfId="7589" xr:uid="{1B41BB98-E973-45E6-85C1-B09D4DC887CF}"/>
    <cellStyle name="20% - Énfasis4 2 3 2 4" xfId="4304" xr:uid="{281305CA-0908-4710-802C-27C6F4A8926A}"/>
    <cellStyle name="20% - Énfasis4 2 3 2 4 2" xfId="8872" xr:uid="{80FF8A1E-0ED7-4796-B512-235B26DAE86D}"/>
    <cellStyle name="20% - Énfasis4 2 3 2 5" xfId="6580" xr:uid="{412C3F8C-5DED-4609-8F65-8CB70480614B}"/>
    <cellStyle name="20% - Énfasis4 2 3 3" xfId="2011" xr:uid="{BDB664D9-0A91-4D28-A9D6-3FF844569BFB}"/>
    <cellStyle name="20% - Énfasis4 2 3 3 2" xfId="3130" xr:uid="{9D83EE74-866B-4320-A4ED-A9198945ABDC}"/>
    <cellStyle name="20% - Énfasis4 2 3 3 2 2" xfId="5554" xr:uid="{066FDA92-29B5-460A-89C7-50DC3D70B8E1}"/>
    <cellStyle name="20% - Énfasis4 2 3 3 2 2 2" xfId="10122" xr:uid="{F5A413B2-AFE9-4945-99B9-6DA8FF1EBD9A}"/>
    <cellStyle name="20% - Énfasis4 2 3 3 2 3" xfId="7830" xr:uid="{E3A53539-68D4-4C2A-8ECE-C5EF97541DBC}"/>
    <cellStyle name="20% - Énfasis4 2 3 3 3" xfId="4545" xr:uid="{3990AB54-AA3E-4AE1-BD3D-71C6898F8B9D}"/>
    <cellStyle name="20% - Énfasis4 2 3 3 3 2" xfId="9113" xr:uid="{1C8E598D-8E18-4D03-9DC9-BDF31B698DF8}"/>
    <cellStyle name="20% - Énfasis4 2 3 3 4" xfId="6821" xr:uid="{D68E3F94-CF78-46E7-9BE1-0424B98A1652}"/>
    <cellStyle name="20% - Énfasis4 2 3 4" xfId="2688" xr:uid="{BFE23BDD-8070-4A22-82CE-6E0ECEB60CE4}"/>
    <cellStyle name="20% - Énfasis4 2 3 4 2" xfId="5114" xr:uid="{A6FE3108-A95E-48B1-A866-41E5123925D0}"/>
    <cellStyle name="20% - Énfasis4 2 3 4 2 2" xfId="9682" xr:uid="{CF4E564A-D54E-41B1-81DE-ED4479439D1A}"/>
    <cellStyle name="20% - Énfasis4 2 3 4 3" xfId="7390" xr:uid="{0E999943-CAED-46C1-A411-D12FBA3A3A2C}"/>
    <cellStyle name="20% - Énfasis4 2 3 5" xfId="4024" xr:uid="{5779CD13-C5E2-4479-9F73-C36B103EE460}"/>
    <cellStyle name="20% - Énfasis4 2 3 5 2" xfId="8593" xr:uid="{E06777FE-66C8-46C6-A943-52941220AF87}"/>
    <cellStyle name="20% - Énfasis4 2 3 6" xfId="6390" xr:uid="{611EBDA0-981F-4A21-9D2E-1914F6F71875}"/>
    <cellStyle name="20% - Énfasis4 2 3 7" xfId="1376" xr:uid="{C6E1029F-3C23-41A8-8B43-6D37BEF814D1}"/>
    <cellStyle name="20% - Énfasis4 2 4" xfId="1658" xr:uid="{A11176F0-E2CE-4173-8A34-F01D7CF7DB99}"/>
    <cellStyle name="20% - Énfasis4 2 4 2" xfId="2303" xr:uid="{9A6CBE3D-9FEF-4B94-A1D1-837F399F719A}"/>
    <cellStyle name="20% - Énfasis4 2 4 2 2" xfId="3314" xr:uid="{6C93D38F-12AE-41DC-BC19-CF04F3A7FF36}"/>
    <cellStyle name="20% - Énfasis4 2 4 2 2 2" xfId="5738" xr:uid="{9BCC9E61-FF04-4BDC-890F-439DB2B97CA7}"/>
    <cellStyle name="20% - Énfasis4 2 4 2 2 2 2" xfId="10306" xr:uid="{BD74F97B-D56B-4334-9F1B-D9B359C4167C}"/>
    <cellStyle name="20% - Énfasis4 2 4 2 2 3" xfId="8014" xr:uid="{DCA2D80C-DF6C-485A-9CE4-9815274178D6}"/>
    <cellStyle name="20% - Énfasis4 2 4 2 3" xfId="4729" xr:uid="{33D4D8ED-58C4-4507-AF33-9D14CD479A8D}"/>
    <cellStyle name="20% - Énfasis4 2 4 2 3 2" xfId="9297" xr:uid="{761F7FD6-7DB1-47E0-887F-4E3B033CA747}"/>
    <cellStyle name="20% - Énfasis4 2 4 2 4" xfId="7005" xr:uid="{CDF8ABEA-A027-4D44-8202-B5A0B42A0FD2}"/>
    <cellStyle name="20% - Énfasis4 2 4 3" xfId="2886" xr:uid="{ED1BC717-83CF-4AF1-99DD-A82236AEB855}"/>
    <cellStyle name="20% - Énfasis4 2 4 3 2" xfId="5310" xr:uid="{9730DE15-B6E5-49D1-A2B7-6495002F591E}"/>
    <cellStyle name="20% - Énfasis4 2 4 3 2 2" xfId="9878" xr:uid="{DEA6C6F0-45E3-4AD9-8EE6-093913EADEE5}"/>
    <cellStyle name="20% - Énfasis4 2 4 3 3" xfId="7586" xr:uid="{773C8ACD-B98F-4AD7-8558-C6BFDCA3FC4D}"/>
    <cellStyle name="20% - Énfasis4 2 4 4" xfId="4301" xr:uid="{00E90C46-4C0C-4B14-8B3E-90215BBCEFBC}"/>
    <cellStyle name="20% - Énfasis4 2 4 4 2" xfId="8869" xr:uid="{AF2D727F-B9C4-4B60-B685-9DF0DA7B5211}"/>
    <cellStyle name="20% - Énfasis4 2 4 5" xfId="6577" xr:uid="{01B6F263-4584-48AC-9ACE-20570CA5A5F3}"/>
    <cellStyle name="20% - Énfasis4 2 5" xfId="2008" xr:uid="{C33B3B03-0C7C-48E7-A9FF-370464FFCFCC}"/>
    <cellStyle name="20% - Énfasis4 2 5 2" xfId="3127" xr:uid="{AA97ADF9-9530-42B3-9C49-0FC0E2F49C9F}"/>
    <cellStyle name="20% - Énfasis4 2 5 2 2" xfId="5551" xr:uid="{09A0DD57-5CDF-46E0-9F4B-9558C90D9C0D}"/>
    <cellStyle name="20% - Énfasis4 2 5 2 2 2" xfId="10119" xr:uid="{C908DEE4-BB18-4CA9-84A9-E8526E09F01D}"/>
    <cellStyle name="20% - Énfasis4 2 5 2 3" xfId="7827" xr:uid="{10A68226-B9FC-4180-89F0-2FC9865BC48D}"/>
    <cellStyle name="20% - Énfasis4 2 5 3" xfId="4542" xr:uid="{B391DE96-6D95-40BA-814C-31F66175AE76}"/>
    <cellStyle name="20% - Énfasis4 2 5 3 2" xfId="9110" xr:uid="{E0B0CB39-0D87-45EB-8946-4F756428D351}"/>
    <cellStyle name="20% - Énfasis4 2 5 4" xfId="6818" xr:uid="{B1C9ECD9-6559-41F5-B86B-695E318DCEF3}"/>
    <cellStyle name="20% - Énfasis4 2 6" xfId="2685" xr:uid="{F5A60A8B-0865-4BA7-A7FB-4650F5F21DA7}"/>
    <cellStyle name="20% - Énfasis4 2 6 2" xfId="5111" xr:uid="{69882A0D-9DE5-46CB-AD6A-34BA323B5661}"/>
    <cellStyle name="20% - Énfasis4 2 6 2 2" xfId="9679" xr:uid="{49CBFD70-1BD8-432D-BA34-0C250BD128F0}"/>
    <cellStyle name="20% - Énfasis4 2 6 3" xfId="7387" xr:uid="{B02C10BD-F1F2-4D4A-A796-882402D1337D}"/>
    <cellStyle name="20% - Énfasis4 2 7" xfId="4021" xr:uid="{3A16F006-EF10-461A-A46F-DD45B2AA2FDB}"/>
    <cellStyle name="20% - Énfasis4 2 7 2" xfId="8590" xr:uid="{1081D882-2B9B-46B7-8C58-6D1C4707A9FB}"/>
    <cellStyle name="20% - Énfasis4 2 8" xfId="6387" xr:uid="{5A00CBDD-D70C-48EA-9C9F-E834E65EED72}"/>
    <cellStyle name="20% - Énfasis4 2 9" xfId="1373" xr:uid="{9297D54D-4744-493D-B379-946C79A51578}"/>
    <cellStyle name="20% - Énfasis4 3" xfId="53" xr:uid="{00000000-0005-0000-0000-000030000000}"/>
    <cellStyle name="20% - Énfasis4 4" xfId="54" xr:uid="{00000000-0005-0000-0000-000031000000}"/>
    <cellStyle name="20% - Énfasis5 2" xfId="55" xr:uid="{00000000-0005-0000-0000-000032000000}"/>
    <cellStyle name="20% - Énfasis5 2 2" xfId="56" xr:uid="{00000000-0005-0000-0000-000033000000}"/>
    <cellStyle name="20% - Énfasis5 2 2 2" xfId="57" xr:uid="{00000000-0005-0000-0000-000034000000}"/>
    <cellStyle name="20% - Énfasis5 2 2 2 2" xfId="1664" xr:uid="{F9951830-02E8-48C8-B991-4F31CCD733E7}"/>
    <cellStyle name="20% - Énfasis5 2 2 2 2 2" xfId="2309" xr:uid="{C30B5F03-933C-411E-8F4E-343553FC310E}"/>
    <cellStyle name="20% - Énfasis5 2 2 2 2 2 2" xfId="3320" xr:uid="{E4CDCC06-5117-4986-B1B8-ADCA92754CD4}"/>
    <cellStyle name="20% - Énfasis5 2 2 2 2 2 2 2" xfId="5744" xr:uid="{3429A601-B4FF-48A6-8D64-1F7938E5CF2C}"/>
    <cellStyle name="20% - Énfasis5 2 2 2 2 2 2 2 2" xfId="10312" xr:uid="{7B66B848-C995-42BC-B919-302B2EBFFDFE}"/>
    <cellStyle name="20% - Énfasis5 2 2 2 2 2 2 3" xfId="8020" xr:uid="{C8FB1BD0-F02C-4028-A046-5E12247C7874}"/>
    <cellStyle name="20% - Énfasis5 2 2 2 2 2 3" xfId="4735" xr:uid="{8F43C686-C612-4F01-8897-457FD3BC8096}"/>
    <cellStyle name="20% - Énfasis5 2 2 2 2 2 3 2" xfId="9303" xr:uid="{EDF00AA8-E3D4-4F66-8956-5D439E7EDDD0}"/>
    <cellStyle name="20% - Énfasis5 2 2 2 2 2 4" xfId="7011" xr:uid="{827FBC6F-6B4E-4932-A326-1C922F974A5C}"/>
    <cellStyle name="20% - Énfasis5 2 2 2 2 3" xfId="2892" xr:uid="{8C9B3823-7381-4AD3-9487-B4CFE0AF2FB0}"/>
    <cellStyle name="20% - Énfasis5 2 2 2 2 3 2" xfId="5316" xr:uid="{15D54245-F574-4117-A3F5-0CFAF94B52C4}"/>
    <cellStyle name="20% - Énfasis5 2 2 2 2 3 2 2" xfId="9884" xr:uid="{EF658E00-BB54-4E8A-88AC-2BB3E4B4A209}"/>
    <cellStyle name="20% - Énfasis5 2 2 2 2 3 3" xfId="7592" xr:uid="{FAEE5959-947E-47D7-AF64-C43CE6CEC873}"/>
    <cellStyle name="20% - Énfasis5 2 2 2 2 4" xfId="4307" xr:uid="{9B4EE9B3-B04F-4E7D-B5DD-5083CD40B600}"/>
    <cellStyle name="20% - Énfasis5 2 2 2 2 4 2" xfId="8875" xr:uid="{8F657F76-7CC9-4CD5-BE78-D5B7FDFBFB9C}"/>
    <cellStyle name="20% - Énfasis5 2 2 2 2 5" xfId="6583" xr:uid="{88E20564-8658-4688-9F53-F768053B83B0}"/>
    <cellStyle name="20% - Énfasis5 2 2 2 3" xfId="2014" xr:uid="{1A74A759-EA6C-4740-8122-840E5A54884E}"/>
    <cellStyle name="20% - Énfasis5 2 2 2 3 2" xfId="3133" xr:uid="{FFCFFD9C-3582-4DDD-85DC-FDAD104BE00E}"/>
    <cellStyle name="20% - Énfasis5 2 2 2 3 2 2" xfId="5557" xr:uid="{01A81D5E-B67B-4BEA-BC74-0587481F3153}"/>
    <cellStyle name="20% - Énfasis5 2 2 2 3 2 2 2" xfId="10125" xr:uid="{FDD89243-5EAE-455A-830C-9BF50930FAE1}"/>
    <cellStyle name="20% - Énfasis5 2 2 2 3 2 3" xfId="7833" xr:uid="{198BEF51-7B0D-420E-AD73-BE23B35871EF}"/>
    <cellStyle name="20% - Énfasis5 2 2 2 3 3" xfId="4548" xr:uid="{BD262E6D-CB05-4A6A-9A75-F5840D379F32}"/>
    <cellStyle name="20% - Énfasis5 2 2 2 3 3 2" xfId="9116" xr:uid="{B4BDE740-F745-4E80-8BF7-C67165DFD576}"/>
    <cellStyle name="20% - Énfasis5 2 2 2 3 4" xfId="6824" xr:uid="{67A36F5D-B2AF-49AF-8BB1-9059DC98B5F7}"/>
    <cellStyle name="20% - Énfasis5 2 2 2 4" xfId="2691" xr:uid="{D47E3CE1-B361-417D-B2B6-78EADDDC99F3}"/>
    <cellStyle name="20% - Énfasis5 2 2 2 4 2" xfId="5117" xr:uid="{F3C5A983-2DA4-4856-A627-4150DE72C621}"/>
    <cellStyle name="20% - Énfasis5 2 2 2 4 2 2" xfId="9685" xr:uid="{19ED3567-40F7-4095-80E7-34F06580060F}"/>
    <cellStyle name="20% - Énfasis5 2 2 2 4 3" xfId="7393" xr:uid="{E4BA8848-A0F1-41B4-9D72-E47CE56F1FA5}"/>
    <cellStyle name="20% - Énfasis5 2 2 2 5" xfId="4027" xr:uid="{871F0C6D-CB0A-4705-B795-41BA4C552695}"/>
    <cellStyle name="20% - Énfasis5 2 2 2 5 2" xfId="8596" xr:uid="{0FD3745F-59B4-4CEA-9015-B6F44A7BFB1D}"/>
    <cellStyle name="20% - Énfasis5 2 2 2 6" xfId="6393" xr:uid="{0BAB71D8-B924-4AEC-8CF0-E220F54BB322}"/>
    <cellStyle name="20% - Énfasis5 2 2 2 7" xfId="1379" xr:uid="{92031444-B267-40E6-8149-6D2661EF0F17}"/>
    <cellStyle name="20% - Énfasis5 2 2 3" xfId="1663" xr:uid="{1275E5FC-B05E-4A1A-B742-FF9A23850C78}"/>
    <cellStyle name="20% - Énfasis5 2 2 3 2" xfId="2308" xr:uid="{40835DAE-53A8-4E68-908E-3D2BDCDA26D5}"/>
    <cellStyle name="20% - Énfasis5 2 2 3 2 2" xfId="3319" xr:uid="{39E20D19-D66A-4657-9F48-82D10B6B9B2D}"/>
    <cellStyle name="20% - Énfasis5 2 2 3 2 2 2" xfId="5743" xr:uid="{1A673CE4-13C8-456C-9DEC-429A7921DB03}"/>
    <cellStyle name="20% - Énfasis5 2 2 3 2 2 2 2" xfId="10311" xr:uid="{82534A09-549E-4279-80E7-756F16CACF14}"/>
    <cellStyle name="20% - Énfasis5 2 2 3 2 2 3" xfId="8019" xr:uid="{C9DDDFE3-CC20-41AE-A6CD-950ADCCE3A50}"/>
    <cellStyle name="20% - Énfasis5 2 2 3 2 3" xfId="4734" xr:uid="{7E7C32FC-87F6-45D3-8004-9FFC6A9AB551}"/>
    <cellStyle name="20% - Énfasis5 2 2 3 2 3 2" xfId="9302" xr:uid="{33A2254B-1FCA-4F6C-9972-185F9C56EA8F}"/>
    <cellStyle name="20% - Énfasis5 2 2 3 2 4" xfId="7010" xr:uid="{76AB9D48-2F91-4A3C-96F0-7ACDD600E1A1}"/>
    <cellStyle name="20% - Énfasis5 2 2 3 3" xfId="2891" xr:uid="{4C118CEC-C1B9-4401-921D-F97D7CB44005}"/>
    <cellStyle name="20% - Énfasis5 2 2 3 3 2" xfId="5315" xr:uid="{15A35742-0EEB-45E5-90A2-DAAA6F89081E}"/>
    <cellStyle name="20% - Énfasis5 2 2 3 3 2 2" xfId="9883" xr:uid="{EB6A8C73-09DC-45C3-9665-393DAEE272F4}"/>
    <cellStyle name="20% - Énfasis5 2 2 3 3 3" xfId="7591" xr:uid="{A54AF266-F9DB-441F-A4A8-D1A65A060F8A}"/>
    <cellStyle name="20% - Énfasis5 2 2 3 4" xfId="4306" xr:uid="{98E4ADA1-BFFE-48E2-955B-48BF0EF81B53}"/>
    <cellStyle name="20% - Énfasis5 2 2 3 4 2" xfId="8874" xr:uid="{CD4B17A0-140B-447B-B26D-39C72ECCAE95}"/>
    <cellStyle name="20% - Énfasis5 2 2 3 5" xfId="6582" xr:uid="{C1AC2D51-8153-4DA7-842C-3FE0D9FC86A1}"/>
    <cellStyle name="20% - Énfasis5 2 2 4" xfId="2013" xr:uid="{427617CA-63A6-4409-8F27-7D20253DCA55}"/>
    <cellStyle name="20% - Énfasis5 2 2 4 2" xfId="3132" xr:uid="{755AD65B-8599-4A67-8171-9BBCA3C30E1B}"/>
    <cellStyle name="20% - Énfasis5 2 2 4 2 2" xfId="5556" xr:uid="{3490D0CD-2D41-42BD-BA99-7ACC148C61A5}"/>
    <cellStyle name="20% - Énfasis5 2 2 4 2 2 2" xfId="10124" xr:uid="{5B05B29B-D77B-477B-8AE9-55585D4E5F47}"/>
    <cellStyle name="20% - Énfasis5 2 2 4 2 3" xfId="7832" xr:uid="{056A1C7E-ECB5-49BC-9710-19C55255B3F5}"/>
    <cellStyle name="20% - Énfasis5 2 2 4 3" xfId="4547" xr:uid="{F4CDCF38-0371-4A8F-ABC4-F3DE67A21C30}"/>
    <cellStyle name="20% - Énfasis5 2 2 4 3 2" xfId="9115" xr:uid="{1C46BBAA-F7CA-4D79-9BD9-8FC030CF4FD4}"/>
    <cellStyle name="20% - Énfasis5 2 2 4 4" xfId="6823" xr:uid="{CBE7732F-26B4-41CB-8BE2-BBD731796248}"/>
    <cellStyle name="20% - Énfasis5 2 2 5" xfId="2690" xr:uid="{A4B4453E-B00B-4D94-897C-28D641DDF4AB}"/>
    <cellStyle name="20% - Énfasis5 2 2 5 2" xfId="5116" xr:uid="{1C8A4B12-2A48-4526-9F1F-C801D2653BF8}"/>
    <cellStyle name="20% - Énfasis5 2 2 5 2 2" xfId="9684" xr:uid="{0FDC8225-77F2-4555-9EC0-1894386434C4}"/>
    <cellStyle name="20% - Énfasis5 2 2 5 3" xfId="7392" xr:uid="{3254F888-F247-4D48-AFAC-2FC38C40274B}"/>
    <cellStyle name="20% - Énfasis5 2 2 6" xfId="4026" xr:uid="{74F35AD6-63B9-4294-916A-B7A6E9E3AB27}"/>
    <cellStyle name="20% - Énfasis5 2 2 6 2" xfId="8595" xr:uid="{658E2176-273F-4F9B-9484-D54A49A6CC28}"/>
    <cellStyle name="20% - Énfasis5 2 2 7" xfId="6392" xr:uid="{8309A1D9-2437-45F8-9194-1402A7B48A00}"/>
    <cellStyle name="20% - Énfasis5 2 2 8" xfId="1378" xr:uid="{DE1A2D4C-766C-449D-B629-CE33E2607943}"/>
    <cellStyle name="20% - Énfasis5 2 3" xfId="58" xr:uid="{00000000-0005-0000-0000-000035000000}"/>
    <cellStyle name="20% - Énfasis5 2 3 2" xfId="1665" xr:uid="{44BAAC97-E190-4F49-A38B-1D30E4D56F0A}"/>
    <cellStyle name="20% - Énfasis5 2 3 2 2" xfId="2310" xr:uid="{128AF17C-55BC-4664-9197-820173434523}"/>
    <cellStyle name="20% - Énfasis5 2 3 2 2 2" xfId="3321" xr:uid="{D1EFCDE0-4F1D-48A1-9EEA-C033D39DB5B8}"/>
    <cellStyle name="20% - Énfasis5 2 3 2 2 2 2" xfId="5745" xr:uid="{95478D97-D921-41AA-8849-315B660132B7}"/>
    <cellStyle name="20% - Énfasis5 2 3 2 2 2 2 2" xfId="10313" xr:uid="{8E60631E-6E9E-4A5F-9D14-FE27EB880710}"/>
    <cellStyle name="20% - Énfasis5 2 3 2 2 2 3" xfId="8021" xr:uid="{F54BDBA0-052F-410C-8B9F-50E729B6AE6F}"/>
    <cellStyle name="20% - Énfasis5 2 3 2 2 3" xfId="4736" xr:uid="{D7758EE3-AEC0-4337-86F9-9009C94DFB7F}"/>
    <cellStyle name="20% - Énfasis5 2 3 2 2 3 2" xfId="9304" xr:uid="{70B1AC75-1054-4038-91A2-232ED1293285}"/>
    <cellStyle name="20% - Énfasis5 2 3 2 2 4" xfId="7012" xr:uid="{DCE0FDB0-F1FA-4447-BB8C-3217555F6BB3}"/>
    <cellStyle name="20% - Énfasis5 2 3 2 3" xfId="2893" xr:uid="{03B611F4-CD0D-4D4C-AA0F-BB127685FDD2}"/>
    <cellStyle name="20% - Énfasis5 2 3 2 3 2" xfId="5317" xr:uid="{0C750D9B-E4ED-421A-9FB2-D0005C800D76}"/>
    <cellStyle name="20% - Énfasis5 2 3 2 3 2 2" xfId="9885" xr:uid="{1C1927F4-EE2F-49F9-8E38-0770846BBFC5}"/>
    <cellStyle name="20% - Énfasis5 2 3 2 3 3" xfId="7593" xr:uid="{C77CA2DC-3C65-452D-8631-69FBCE5C3D62}"/>
    <cellStyle name="20% - Énfasis5 2 3 2 4" xfId="4308" xr:uid="{D6D2D0CF-FBDE-433F-B54D-1E3D868138A6}"/>
    <cellStyle name="20% - Énfasis5 2 3 2 4 2" xfId="8876" xr:uid="{F38A9370-B460-4DD6-BEDB-8092B4704EFF}"/>
    <cellStyle name="20% - Énfasis5 2 3 2 5" xfId="6584" xr:uid="{24E9EF2C-3BA2-4BBF-98AE-F2397A029D25}"/>
    <cellStyle name="20% - Énfasis5 2 3 3" xfId="2015" xr:uid="{33B0FF13-C43B-4A07-8CFE-347976AC30A8}"/>
    <cellStyle name="20% - Énfasis5 2 3 3 2" xfId="3134" xr:uid="{4EFEE1C6-D59C-49A9-BF5F-C9CE6855D5EF}"/>
    <cellStyle name="20% - Énfasis5 2 3 3 2 2" xfId="5558" xr:uid="{300DBBF3-D557-4C00-9B7B-DA0D07899434}"/>
    <cellStyle name="20% - Énfasis5 2 3 3 2 2 2" xfId="10126" xr:uid="{7A1D21D4-ED62-4346-8EE2-37D1D995FA93}"/>
    <cellStyle name="20% - Énfasis5 2 3 3 2 3" xfId="7834" xr:uid="{E86478D6-56DD-4795-A07B-764FCF9A3CC7}"/>
    <cellStyle name="20% - Énfasis5 2 3 3 3" xfId="4549" xr:uid="{ECBF902D-553A-41B2-9F13-4759C8244E93}"/>
    <cellStyle name="20% - Énfasis5 2 3 3 3 2" xfId="9117" xr:uid="{12E3EAE9-5494-4202-AC7E-EDC5A39A60B5}"/>
    <cellStyle name="20% - Énfasis5 2 3 3 4" xfId="6825" xr:uid="{E56DF9D4-4434-49C7-99B1-E2CF6D97D96E}"/>
    <cellStyle name="20% - Énfasis5 2 3 4" xfId="2692" xr:uid="{110E34C5-8FBE-4F10-81B4-624936A09C20}"/>
    <cellStyle name="20% - Énfasis5 2 3 4 2" xfId="5118" xr:uid="{5CE6F9DD-897E-4DB7-8E23-A89578561038}"/>
    <cellStyle name="20% - Énfasis5 2 3 4 2 2" xfId="9686" xr:uid="{08A5D130-57A8-4D3D-A792-7B34BDE3D07B}"/>
    <cellStyle name="20% - Énfasis5 2 3 4 3" xfId="7394" xr:uid="{D5D73607-E3CB-4936-A72E-9AA73CC72A51}"/>
    <cellStyle name="20% - Énfasis5 2 3 5" xfId="4028" xr:uid="{14DB6460-D07E-4D6E-903F-C2B6D65A984D}"/>
    <cellStyle name="20% - Énfasis5 2 3 5 2" xfId="8597" xr:uid="{182BCBCF-3617-41CD-9FE5-FA9E2D133D3E}"/>
    <cellStyle name="20% - Énfasis5 2 3 6" xfId="6394" xr:uid="{86803561-D04F-487E-AC41-E2FDF2D9E0E3}"/>
    <cellStyle name="20% - Énfasis5 2 3 7" xfId="1380" xr:uid="{3CC9FADE-5F25-46CC-977B-3BC6AD7C61CA}"/>
    <cellStyle name="20% - Énfasis5 2 4" xfId="1662" xr:uid="{7E653EB9-C5D0-4913-B0DC-39E4ACA48CA9}"/>
    <cellStyle name="20% - Énfasis5 2 4 2" xfId="2307" xr:uid="{94688E28-C193-4821-A0F9-9DB69D1627BC}"/>
    <cellStyle name="20% - Énfasis5 2 4 2 2" xfId="3318" xr:uid="{FBA55592-87C2-4CCF-8DC6-0952A18868F1}"/>
    <cellStyle name="20% - Énfasis5 2 4 2 2 2" xfId="5742" xr:uid="{18FA7551-A2A0-4420-B9BA-B6FC02FF2E12}"/>
    <cellStyle name="20% - Énfasis5 2 4 2 2 2 2" xfId="10310" xr:uid="{83664742-FF6A-4DB2-9B77-8509E4C80B4F}"/>
    <cellStyle name="20% - Énfasis5 2 4 2 2 3" xfId="8018" xr:uid="{7C2EC47E-AF32-4023-96A7-6E14E6BC6293}"/>
    <cellStyle name="20% - Énfasis5 2 4 2 3" xfId="4733" xr:uid="{B7A97EDD-79AA-4AB2-89CF-51AEE27A25EF}"/>
    <cellStyle name="20% - Énfasis5 2 4 2 3 2" xfId="9301" xr:uid="{AFAFCF3B-3FBB-427F-BFDB-189232284597}"/>
    <cellStyle name="20% - Énfasis5 2 4 2 4" xfId="7009" xr:uid="{11A22988-9A64-4FF5-9E0E-2D79422753FD}"/>
    <cellStyle name="20% - Énfasis5 2 4 3" xfId="2890" xr:uid="{D1247FB0-28F6-4124-A337-71B20A2F8C26}"/>
    <cellStyle name="20% - Énfasis5 2 4 3 2" xfId="5314" xr:uid="{CD9890B3-5329-43F9-B7B1-2169061DB9EE}"/>
    <cellStyle name="20% - Énfasis5 2 4 3 2 2" xfId="9882" xr:uid="{62C93063-B315-4838-9883-CA179E39E98A}"/>
    <cellStyle name="20% - Énfasis5 2 4 3 3" xfId="7590" xr:uid="{B34F3C67-F9CC-46E0-842A-64380488C237}"/>
    <cellStyle name="20% - Énfasis5 2 4 4" xfId="4305" xr:uid="{187BE8EB-7E7D-49C3-B631-9718CD15E881}"/>
    <cellStyle name="20% - Énfasis5 2 4 4 2" xfId="8873" xr:uid="{98A62005-948B-45B7-B807-8A661B15D492}"/>
    <cellStyle name="20% - Énfasis5 2 4 5" xfId="6581" xr:uid="{684A54BB-17F9-4DF1-90F3-171B2E854F11}"/>
    <cellStyle name="20% - Énfasis5 2 5" xfId="2012" xr:uid="{E706993F-25A5-4EB4-9EC7-ADD70A02AC80}"/>
    <cellStyle name="20% - Énfasis5 2 5 2" xfId="3131" xr:uid="{FFED7072-D98A-43BC-9EB3-AF8FFBE8FF0C}"/>
    <cellStyle name="20% - Énfasis5 2 5 2 2" xfId="5555" xr:uid="{125310E1-40D2-446E-83C0-1B608A94BA78}"/>
    <cellStyle name="20% - Énfasis5 2 5 2 2 2" xfId="10123" xr:uid="{39347913-4B8B-44A7-ACB1-73457F232B3E}"/>
    <cellStyle name="20% - Énfasis5 2 5 2 3" xfId="7831" xr:uid="{DA32B259-7F0C-4AD8-87AB-021663C14880}"/>
    <cellStyle name="20% - Énfasis5 2 5 3" xfId="4546" xr:uid="{09F31443-6921-4F7C-83F2-AAACA691A148}"/>
    <cellStyle name="20% - Énfasis5 2 5 3 2" xfId="9114" xr:uid="{FF5AA3C7-190D-4152-AC1F-20B7C64399A1}"/>
    <cellStyle name="20% - Énfasis5 2 5 4" xfId="6822" xr:uid="{5188F3FD-34DF-43AD-84C3-5D099A90C74D}"/>
    <cellStyle name="20% - Énfasis5 2 6" xfId="2689" xr:uid="{1223E853-4283-4EAF-B69E-D27249498AB6}"/>
    <cellStyle name="20% - Énfasis5 2 6 2" xfId="5115" xr:uid="{E1C75717-18F6-43F4-A183-1802515922FC}"/>
    <cellStyle name="20% - Énfasis5 2 6 2 2" xfId="9683" xr:uid="{2160EFFF-6B45-42E8-B671-8F5DDEB4BAA0}"/>
    <cellStyle name="20% - Énfasis5 2 6 3" xfId="7391" xr:uid="{AD9DB2D9-35C5-470C-B8C7-3188DDDFD54B}"/>
    <cellStyle name="20% - Énfasis5 2 7" xfId="4025" xr:uid="{99A56098-ECE0-4C81-854F-9BCD2E81E666}"/>
    <cellStyle name="20% - Énfasis5 2 7 2" xfId="8594" xr:uid="{D6867FAD-3D5C-49D1-9E94-49CFCF1D0CA2}"/>
    <cellStyle name="20% - Énfasis5 2 8" xfId="6391" xr:uid="{BD6C38E5-7EA6-4DB2-B3EB-DED19E96F788}"/>
    <cellStyle name="20% - Énfasis5 2 9" xfId="1377" xr:uid="{A764E651-00BB-4985-A2E2-EADDE826477C}"/>
    <cellStyle name="20% - Énfasis5 3" xfId="59" xr:uid="{00000000-0005-0000-0000-000036000000}"/>
    <cellStyle name="20% - Énfasis5 4" xfId="60" xr:uid="{00000000-0005-0000-0000-000037000000}"/>
    <cellStyle name="20% - Énfasis6 2" xfId="61" xr:uid="{00000000-0005-0000-0000-000038000000}"/>
    <cellStyle name="20% - Énfasis6 2 2" xfId="62" xr:uid="{00000000-0005-0000-0000-000039000000}"/>
    <cellStyle name="20% - Énfasis6 2 2 2" xfId="63" xr:uid="{00000000-0005-0000-0000-00003A000000}"/>
    <cellStyle name="20% - Énfasis6 2 2 2 2" xfId="1668" xr:uid="{C911C974-8711-4475-A878-CC177665AD7E}"/>
    <cellStyle name="20% - Énfasis6 2 2 2 2 2" xfId="2313" xr:uid="{7E280E46-8843-4FFD-A153-CC2A6C0536C1}"/>
    <cellStyle name="20% - Énfasis6 2 2 2 2 2 2" xfId="3324" xr:uid="{E6CDA782-C2DC-42A9-BB3C-6E0E77C6E39F}"/>
    <cellStyle name="20% - Énfasis6 2 2 2 2 2 2 2" xfId="5748" xr:uid="{ABBF6D02-C7BB-454B-9300-C44EB7B06E4E}"/>
    <cellStyle name="20% - Énfasis6 2 2 2 2 2 2 2 2" xfId="10316" xr:uid="{58A88D6C-0E73-496A-A9F5-EFFC1C04D9D4}"/>
    <cellStyle name="20% - Énfasis6 2 2 2 2 2 2 3" xfId="8024" xr:uid="{B5DACE2B-061A-4B09-A1CD-10639956E19C}"/>
    <cellStyle name="20% - Énfasis6 2 2 2 2 2 3" xfId="4739" xr:uid="{93683659-777A-4393-890C-1541C1CB27DB}"/>
    <cellStyle name="20% - Énfasis6 2 2 2 2 2 3 2" xfId="9307" xr:uid="{73139EE7-8608-47BB-A8D3-F48C6C6F919C}"/>
    <cellStyle name="20% - Énfasis6 2 2 2 2 2 4" xfId="7015" xr:uid="{E610EB9F-A7EC-4DDB-86C2-C729536642CC}"/>
    <cellStyle name="20% - Énfasis6 2 2 2 2 3" xfId="2896" xr:uid="{3D68C859-AE39-4C14-BC45-B6C14FA28094}"/>
    <cellStyle name="20% - Énfasis6 2 2 2 2 3 2" xfId="5320" xr:uid="{986720F2-7342-4880-B197-730A71FEBE13}"/>
    <cellStyle name="20% - Énfasis6 2 2 2 2 3 2 2" xfId="9888" xr:uid="{05F94481-AE87-497E-A1B9-1850CD473F76}"/>
    <cellStyle name="20% - Énfasis6 2 2 2 2 3 3" xfId="7596" xr:uid="{1CD1A47D-366F-40DA-A92E-7C3E5D653DC3}"/>
    <cellStyle name="20% - Énfasis6 2 2 2 2 4" xfId="4311" xr:uid="{E7D980BB-1055-4A60-8371-87A72F3953FE}"/>
    <cellStyle name="20% - Énfasis6 2 2 2 2 4 2" xfId="8879" xr:uid="{C4727925-5D8B-44B4-850C-89A335B19AE9}"/>
    <cellStyle name="20% - Énfasis6 2 2 2 2 5" xfId="6587" xr:uid="{E1CC423E-C5BD-4363-AEA2-82A322A63CF5}"/>
    <cellStyle name="20% - Énfasis6 2 2 2 3" xfId="2018" xr:uid="{78E0E2DB-3708-4CB7-95DD-301867F14EFD}"/>
    <cellStyle name="20% - Énfasis6 2 2 2 3 2" xfId="3137" xr:uid="{0F597D15-E33B-4286-A961-BA3DDD5ABAD6}"/>
    <cellStyle name="20% - Énfasis6 2 2 2 3 2 2" xfId="5561" xr:uid="{53BAC309-B605-4433-BEE6-7B42EF466449}"/>
    <cellStyle name="20% - Énfasis6 2 2 2 3 2 2 2" xfId="10129" xr:uid="{85AF4319-FF52-451E-83BC-76A2A93290A5}"/>
    <cellStyle name="20% - Énfasis6 2 2 2 3 2 3" xfId="7837" xr:uid="{834A03D1-E14B-49EF-8403-EA2591B47311}"/>
    <cellStyle name="20% - Énfasis6 2 2 2 3 3" xfId="4552" xr:uid="{7A9A5E22-4581-44C3-99A7-EAFA69C9D94D}"/>
    <cellStyle name="20% - Énfasis6 2 2 2 3 3 2" xfId="9120" xr:uid="{8B1097CA-92F7-4E58-BB3F-BD4954056601}"/>
    <cellStyle name="20% - Énfasis6 2 2 2 3 4" xfId="6828" xr:uid="{84A8B5D4-E87A-4183-A5EC-BD64E922DCB0}"/>
    <cellStyle name="20% - Énfasis6 2 2 2 4" xfId="2695" xr:uid="{C89EFE0A-EB52-4EFC-BF32-BFC484284A24}"/>
    <cellStyle name="20% - Énfasis6 2 2 2 4 2" xfId="5121" xr:uid="{EC64B4FF-31B1-4BD3-A418-4B6CC9270673}"/>
    <cellStyle name="20% - Énfasis6 2 2 2 4 2 2" xfId="9689" xr:uid="{B6C7E47E-382F-4802-813D-FF8FD6693F0D}"/>
    <cellStyle name="20% - Énfasis6 2 2 2 4 3" xfId="7397" xr:uid="{134F8771-B9A4-4868-9318-977566664683}"/>
    <cellStyle name="20% - Énfasis6 2 2 2 5" xfId="4031" xr:uid="{C2E3A5A2-47A2-492E-B1FC-D35EBD8B10D8}"/>
    <cellStyle name="20% - Énfasis6 2 2 2 5 2" xfId="8600" xr:uid="{1AD11F54-828B-4E5A-9AE1-4EE2264C6039}"/>
    <cellStyle name="20% - Énfasis6 2 2 2 6" xfId="6397" xr:uid="{56F790D5-4CA4-45FD-8127-29AE6CE2853C}"/>
    <cellStyle name="20% - Énfasis6 2 2 2 7" xfId="1383" xr:uid="{BA26E62B-A866-42EC-80B1-2AAE1FADE1C4}"/>
    <cellStyle name="20% - Énfasis6 2 2 3" xfId="1667" xr:uid="{E528CA73-0218-4B94-B052-CEEE2726DBD7}"/>
    <cellStyle name="20% - Énfasis6 2 2 3 2" xfId="2312" xr:uid="{EF2CBB70-5B8D-4367-805F-6700CF997455}"/>
    <cellStyle name="20% - Énfasis6 2 2 3 2 2" xfId="3323" xr:uid="{04CD050B-4F86-46CD-AA85-5E83F5989E1B}"/>
    <cellStyle name="20% - Énfasis6 2 2 3 2 2 2" xfId="5747" xr:uid="{3A4972B4-7238-4FCE-AE65-A3C0567CB029}"/>
    <cellStyle name="20% - Énfasis6 2 2 3 2 2 2 2" xfId="10315" xr:uid="{32EA5602-70E5-44C0-A677-92597DB32CCB}"/>
    <cellStyle name="20% - Énfasis6 2 2 3 2 2 3" xfId="8023" xr:uid="{4614827F-4A4B-4421-993E-3305EBA7AB6E}"/>
    <cellStyle name="20% - Énfasis6 2 2 3 2 3" xfId="4738" xr:uid="{20A63E1A-1874-4BE1-AE6B-9B107A51810C}"/>
    <cellStyle name="20% - Énfasis6 2 2 3 2 3 2" xfId="9306" xr:uid="{1A832D3C-DB99-4348-839E-A823C4D8BB23}"/>
    <cellStyle name="20% - Énfasis6 2 2 3 2 4" xfId="7014" xr:uid="{4739AC3C-0B42-4CC5-8347-D641A64353A8}"/>
    <cellStyle name="20% - Énfasis6 2 2 3 3" xfId="2895" xr:uid="{B836019B-EC00-4C21-8DDD-680A697CF38E}"/>
    <cellStyle name="20% - Énfasis6 2 2 3 3 2" xfId="5319" xr:uid="{8911853A-3888-4BFC-AE42-5949430A7B02}"/>
    <cellStyle name="20% - Énfasis6 2 2 3 3 2 2" xfId="9887" xr:uid="{40A26B10-89C8-4C73-BB19-702D25A245AA}"/>
    <cellStyle name="20% - Énfasis6 2 2 3 3 3" xfId="7595" xr:uid="{14613134-8364-4FEE-BE8C-660A6B761224}"/>
    <cellStyle name="20% - Énfasis6 2 2 3 4" xfId="4310" xr:uid="{27644CFA-5838-48E6-A27A-15DBEA3034F9}"/>
    <cellStyle name="20% - Énfasis6 2 2 3 4 2" xfId="8878" xr:uid="{DC184903-1E29-4EB9-86F1-83F6F2765647}"/>
    <cellStyle name="20% - Énfasis6 2 2 3 5" xfId="6586" xr:uid="{B5432370-6874-4B4B-AF15-9908EDF54698}"/>
    <cellStyle name="20% - Énfasis6 2 2 4" xfId="2017" xr:uid="{C6C6822B-A88C-467E-9CB6-CD5ACFF10A32}"/>
    <cellStyle name="20% - Énfasis6 2 2 4 2" xfId="3136" xr:uid="{06DB5236-1B29-4A73-A98B-D0B5464AB92E}"/>
    <cellStyle name="20% - Énfasis6 2 2 4 2 2" xfId="5560" xr:uid="{5E2F32A1-F36C-4EAB-8CBC-D983DC9A7134}"/>
    <cellStyle name="20% - Énfasis6 2 2 4 2 2 2" xfId="10128" xr:uid="{8BAA5957-283D-4A07-83EA-7D7C9A532404}"/>
    <cellStyle name="20% - Énfasis6 2 2 4 2 3" xfId="7836" xr:uid="{6602B928-4CA8-4AA7-8AF7-2D053D4E52C5}"/>
    <cellStyle name="20% - Énfasis6 2 2 4 3" xfId="4551" xr:uid="{A4A39FA0-D45E-455F-B5A1-38B6CBA9EE67}"/>
    <cellStyle name="20% - Énfasis6 2 2 4 3 2" xfId="9119" xr:uid="{CD1BB89E-4BF2-47DB-878C-D50DA1224B38}"/>
    <cellStyle name="20% - Énfasis6 2 2 4 4" xfId="6827" xr:uid="{4DD780E8-8B1A-4E80-A903-E2456B32A6F6}"/>
    <cellStyle name="20% - Énfasis6 2 2 5" xfId="2694" xr:uid="{353F9A54-E083-4AA1-BCC5-C4A27E19C67C}"/>
    <cellStyle name="20% - Énfasis6 2 2 5 2" xfId="5120" xr:uid="{51F51BED-9DC7-4BB0-B0C7-99E599555D91}"/>
    <cellStyle name="20% - Énfasis6 2 2 5 2 2" xfId="9688" xr:uid="{4530A649-01B8-4C58-ADB0-FDA0DADBD857}"/>
    <cellStyle name="20% - Énfasis6 2 2 5 3" xfId="7396" xr:uid="{CDA3CABD-1222-448F-827E-AAAA7AD1F86A}"/>
    <cellStyle name="20% - Énfasis6 2 2 6" xfId="4030" xr:uid="{55A166A0-BF6F-4572-994A-686878B67735}"/>
    <cellStyle name="20% - Énfasis6 2 2 6 2" xfId="8599" xr:uid="{BD18B365-E11F-4161-8378-97EA55D3989F}"/>
    <cellStyle name="20% - Énfasis6 2 2 7" xfId="6396" xr:uid="{FF736B7E-05D6-45CA-94B8-20343AD9B830}"/>
    <cellStyle name="20% - Énfasis6 2 2 8" xfId="1382" xr:uid="{94C49613-92E2-404C-AF35-C8D3E051458B}"/>
    <cellStyle name="20% - Énfasis6 2 3" xfId="64" xr:uid="{00000000-0005-0000-0000-00003B000000}"/>
    <cellStyle name="20% - Énfasis6 2 3 2" xfId="1669" xr:uid="{21261E47-0B93-4B3C-AB3B-CAC28AD305B6}"/>
    <cellStyle name="20% - Énfasis6 2 3 2 2" xfId="2314" xr:uid="{5B266AA3-E88A-43C8-8F80-A27E34CFAA24}"/>
    <cellStyle name="20% - Énfasis6 2 3 2 2 2" xfId="3325" xr:uid="{6A807DFC-2BFD-4D9C-9F0C-6F5155376BDB}"/>
    <cellStyle name="20% - Énfasis6 2 3 2 2 2 2" xfId="5749" xr:uid="{9D3E0BA4-BEA7-49C1-92BE-4917C73A3C9A}"/>
    <cellStyle name="20% - Énfasis6 2 3 2 2 2 2 2" xfId="10317" xr:uid="{78858EB6-26F2-4520-BAF7-5F963CF7CADB}"/>
    <cellStyle name="20% - Énfasis6 2 3 2 2 2 3" xfId="8025" xr:uid="{22E2B550-C7F4-4F2E-B74C-CC7426FCE9D0}"/>
    <cellStyle name="20% - Énfasis6 2 3 2 2 3" xfId="4740" xr:uid="{32F0FA23-CE48-4222-AC70-0F38D0816EFF}"/>
    <cellStyle name="20% - Énfasis6 2 3 2 2 3 2" xfId="9308" xr:uid="{87EC646B-1C68-4C29-9AEB-8AA44FE73FBA}"/>
    <cellStyle name="20% - Énfasis6 2 3 2 2 4" xfId="7016" xr:uid="{983584C4-C42C-44F2-85D3-0E46DF10D1A0}"/>
    <cellStyle name="20% - Énfasis6 2 3 2 3" xfId="2897" xr:uid="{58935D77-F752-4CC6-8C65-F60C1E03FE52}"/>
    <cellStyle name="20% - Énfasis6 2 3 2 3 2" xfId="5321" xr:uid="{235C7676-CD61-409B-96B3-2F6611469E43}"/>
    <cellStyle name="20% - Énfasis6 2 3 2 3 2 2" xfId="9889" xr:uid="{E1103AA0-8765-464E-903A-7204FCB1E6B7}"/>
    <cellStyle name="20% - Énfasis6 2 3 2 3 3" xfId="7597" xr:uid="{C9C67A3D-1047-4DA6-A786-7597F162061D}"/>
    <cellStyle name="20% - Énfasis6 2 3 2 4" xfId="4312" xr:uid="{CE2D4D9B-4FC9-44B1-813D-C783AE8E7C4A}"/>
    <cellStyle name="20% - Énfasis6 2 3 2 4 2" xfId="8880" xr:uid="{9D524A1F-5869-49D3-ABB5-4E922B71F9F4}"/>
    <cellStyle name="20% - Énfasis6 2 3 2 5" xfId="6588" xr:uid="{01D5C066-C78B-43BB-9E5F-15153BF55C2E}"/>
    <cellStyle name="20% - Énfasis6 2 3 3" xfId="2019" xr:uid="{11990D10-1AE9-4FDB-907D-F33C09E60D80}"/>
    <cellStyle name="20% - Énfasis6 2 3 3 2" xfId="3138" xr:uid="{6FD5BAFA-845B-4636-A48D-4557D021FD83}"/>
    <cellStyle name="20% - Énfasis6 2 3 3 2 2" xfId="5562" xr:uid="{D9894F54-F23B-43DA-936D-F9B2BF5D3E5D}"/>
    <cellStyle name="20% - Énfasis6 2 3 3 2 2 2" xfId="10130" xr:uid="{78772240-9B85-4240-8600-FCEF0B919DAC}"/>
    <cellStyle name="20% - Énfasis6 2 3 3 2 3" xfId="7838" xr:uid="{CCB2118D-3337-435D-9FF1-ED29037D375B}"/>
    <cellStyle name="20% - Énfasis6 2 3 3 3" xfId="4553" xr:uid="{C69EC9A6-A757-4C8D-B1B2-37AE639B0C5C}"/>
    <cellStyle name="20% - Énfasis6 2 3 3 3 2" xfId="9121" xr:uid="{2E2919FC-CC65-4C90-87FE-84C1EE873CC2}"/>
    <cellStyle name="20% - Énfasis6 2 3 3 4" xfId="6829" xr:uid="{DE8D6C96-4294-4737-B437-3033C50BA294}"/>
    <cellStyle name="20% - Énfasis6 2 3 4" xfId="2696" xr:uid="{B3FC7577-5D5F-47CD-8E9F-39895DBC8888}"/>
    <cellStyle name="20% - Énfasis6 2 3 4 2" xfId="5122" xr:uid="{786FE65C-C0AB-492A-85D6-36A2CDCF7F55}"/>
    <cellStyle name="20% - Énfasis6 2 3 4 2 2" xfId="9690" xr:uid="{069C1426-D6F3-4F62-A3B6-B0C4E84AE35C}"/>
    <cellStyle name="20% - Énfasis6 2 3 4 3" xfId="7398" xr:uid="{565AD38E-1AE7-41D5-8BA6-2A0E7DD1A3E3}"/>
    <cellStyle name="20% - Énfasis6 2 3 5" xfId="4032" xr:uid="{5EA86EDE-7D66-4397-9DFA-1104730F4AC0}"/>
    <cellStyle name="20% - Énfasis6 2 3 5 2" xfId="8601" xr:uid="{F2A0ECC7-3BA8-4DEB-BD67-8F5A7D990809}"/>
    <cellStyle name="20% - Énfasis6 2 3 6" xfId="6398" xr:uid="{D18EF8FB-BCCC-4C58-9AF2-240523711D1A}"/>
    <cellStyle name="20% - Énfasis6 2 3 7" xfId="1384" xr:uid="{05E41077-5319-4D5A-8B2C-14FB891711D8}"/>
    <cellStyle name="20% - Énfasis6 2 4" xfId="1666" xr:uid="{F5EBA203-F58F-43E0-AB94-0DBD237971DF}"/>
    <cellStyle name="20% - Énfasis6 2 4 2" xfId="2311" xr:uid="{E3533F47-E7D7-40B8-91F1-9EF38FF031C2}"/>
    <cellStyle name="20% - Énfasis6 2 4 2 2" xfId="3322" xr:uid="{7526CDCF-335A-492D-AE04-F62D99C7F25B}"/>
    <cellStyle name="20% - Énfasis6 2 4 2 2 2" xfId="5746" xr:uid="{A450DE21-8F4D-4B9F-BCAF-D96AD56E1AC0}"/>
    <cellStyle name="20% - Énfasis6 2 4 2 2 2 2" xfId="10314" xr:uid="{ED8EFC16-7ACA-4DE4-B0AC-FECD71C0DF01}"/>
    <cellStyle name="20% - Énfasis6 2 4 2 2 3" xfId="8022" xr:uid="{DDC3F821-BEA8-422B-8D50-78C91DF94FC5}"/>
    <cellStyle name="20% - Énfasis6 2 4 2 3" xfId="4737" xr:uid="{56D7D72C-DB02-449D-B4AB-5E2D4CCC4F1C}"/>
    <cellStyle name="20% - Énfasis6 2 4 2 3 2" xfId="9305" xr:uid="{89568C16-47F8-4CE7-B771-51EE914B9570}"/>
    <cellStyle name="20% - Énfasis6 2 4 2 4" xfId="7013" xr:uid="{88596A7A-AC69-4389-91DB-005414C3EE04}"/>
    <cellStyle name="20% - Énfasis6 2 4 3" xfId="2894" xr:uid="{1DE812AE-2CDB-4DD2-9F20-7552002F7093}"/>
    <cellStyle name="20% - Énfasis6 2 4 3 2" xfId="5318" xr:uid="{C8D75827-B66E-4818-95EE-BE728E0D6528}"/>
    <cellStyle name="20% - Énfasis6 2 4 3 2 2" xfId="9886" xr:uid="{AF4FC1CE-0E26-4F6C-906B-C737F6D17445}"/>
    <cellStyle name="20% - Énfasis6 2 4 3 3" xfId="7594" xr:uid="{4DC08B46-6608-4402-BC75-920938962AC1}"/>
    <cellStyle name="20% - Énfasis6 2 4 4" xfId="4309" xr:uid="{C29D8203-C958-4841-8E79-1141C139ED06}"/>
    <cellStyle name="20% - Énfasis6 2 4 4 2" xfId="8877" xr:uid="{BEAFCC4A-E3A7-4F9E-960D-BFDB925F364E}"/>
    <cellStyle name="20% - Énfasis6 2 4 5" xfId="6585" xr:uid="{C95C79E0-7782-4798-B8E4-64234D61AB43}"/>
    <cellStyle name="20% - Énfasis6 2 5" xfId="2016" xr:uid="{94240A69-3331-4D2D-A733-0D01A074E6D3}"/>
    <cellStyle name="20% - Énfasis6 2 5 2" xfId="3135" xr:uid="{B76D33E3-A78F-49E8-BFCB-A5228571FA61}"/>
    <cellStyle name="20% - Énfasis6 2 5 2 2" xfId="5559" xr:uid="{BF753182-A250-4D87-9612-CCDEED69B9CF}"/>
    <cellStyle name="20% - Énfasis6 2 5 2 2 2" xfId="10127" xr:uid="{467B87A4-F26E-46C1-926E-72F7EB62C590}"/>
    <cellStyle name="20% - Énfasis6 2 5 2 3" xfId="7835" xr:uid="{C0DC0218-5101-4EB3-934D-6A76E39BA285}"/>
    <cellStyle name="20% - Énfasis6 2 5 3" xfId="4550" xr:uid="{61EE5779-467C-4751-AA9D-DE4800750634}"/>
    <cellStyle name="20% - Énfasis6 2 5 3 2" xfId="9118" xr:uid="{0A195DD6-66ED-40B3-A305-DBE77046A91D}"/>
    <cellStyle name="20% - Énfasis6 2 5 4" xfId="6826" xr:uid="{38CBB305-D29B-4A26-81E7-1DD339CBD7AB}"/>
    <cellStyle name="20% - Énfasis6 2 6" xfId="2693" xr:uid="{C0ACF99F-8259-413E-805A-8EEC1A80422D}"/>
    <cellStyle name="20% - Énfasis6 2 6 2" xfId="5119" xr:uid="{07C65BBC-3891-4317-B3AD-B4884E16C307}"/>
    <cellStyle name="20% - Énfasis6 2 6 2 2" xfId="9687" xr:uid="{744A8739-CD8E-4906-8998-DC20F9A55B9A}"/>
    <cellStyle name="20% - Énfasis6 2 6 3" xfId="7395" xr:uid="{21A8D14F-4C37-4857-B74C-551AA90FD11F}"/>
    <cellStyle name="20% - Énfasis6 2 7" xfId="4029" xr:uid="{99D33562-AC35-4D96-89FC-9B8945E083AE}"/>
    <cellStyle name="20% - Énfasis6 2 7 2" xfId="8598" xr:uid="{0E95463D-239F-44CA-ADED-2D0FA8243FEE}"/>
    <cellStyle name="20% - Énfasis6 2 8" xfId="6395" xr:uid="{C18656F6-E006-4362-8AF3-A7BA169515E4}"/>
    <cellStyle name="20% - Énfasis6 2 9" xfId="1381" xr:uid="{140E4C1F-5D62-4C9A-8945-537D10DC681E}"/>
    <cellStyle name="20% - Énfasis6 3" xfId="65" xr:uid="{00000000-0005-0000-0000-00003C000000}"/>
    <cellStyle name="20% - Énfasis6 4" xfId="66" xr:uid="{00000000-0005-0000-0000-00003D000000}"/>
    <cellStyle name="2o.nível" xfId="67" xr:uid="{00000000-0005-0000-0000-00003E000000}"/>
    <cellStyle name="40% - Accent1" xfId="68" xr:uid="{00000000-0005-0000-0000-00003F000000}"/>
    <cellStyle name="40% - Accent1 2" xfId="69" xr:uid="{00000000-0005-0000-0000-000040000000}"/>
    <cellStyle name="40% - Accent1 3" xfId="70" xr:uid="{00000000-0005-0000-0000-000041000000}"/>
    <cellStyle name="40% - Accent1_PYG CemArgos consolidado" xfId="71" xr:uid="{00000000-0005-0000-0000-000042000000}"/>
    <cellStyle name="40% - Accent2" xfId="72" xr:uid="{00000000-0005-0000-0000-000043000000}"/>
    <cellStyle name="40% - Accent2 2" xfId="73" xr:uid="{00000000-0005-0000-0000-000044000000}"/>
    <cellStyle name="40% - Accent2 3" xfId="74" xr:uid="{00000000-0005-0000-0000-000045000000}"/>
    <cellStyle name="40% - Accent2_PYG CemArgos consolidado" xfId="75" xr:uid="{00000000-0005-0000-0000-000046000000}"/>
    <cellStyle name="40% - Accent3" xfId="76" xr:uid="{00000000-0005-0000-0000-000047000000}"/>
    <cellStyle name="40% - Accent3 2" xfId="77" xr:uid="{00000000-0005-0000-0000-000048000000}"/>
    <cellStyle name="40% - Accent3 3" xfId="78" xr:uid="{00000000-0005-0000-0000-000049000000}"/>
    <cellStyle name="40% - Accent3_PYG CemArgos consolidado" xfId="79" xr:uid="{00000000-0005-0000-0000-00004A000000}"/>
    <cellStyle name="40% - Accent4" xfId="80" xr:uid="{00000000-0005-0000-0000-00004B000000}"/>
    <cellStyle name="40% - Accent4 2" xfId="81" xr:uid="{00000000-0005-0000-0000-00004C000000}"/>
    <cellStyle name="40% - Accent4 3" xfId="82" xr:uid="{00000000-0005-0000-0000-00004D000000}"/>
    <cellStyle name="40% - Accent4_PYG CemArgos consolidado" xfId="83" xr:uid="{00000000-0005-0000-0000-00004E000000}"/>
    <cellStyle name="40% - Accent5" xfId="84" xr:uid="{00000000-0005-0000-0000-00004F000000}"/>
    <cellStyle name="40% - Accent5 2" xfId="85" xr:uid="{00000000-0005-0000-0000-000050000000}"/>
    <cellStyle name="40% - Accent5 3" xfId="86" xr:uid="{00000000-0005-0000-0000-000051000000}"/>
    <cellStyle name="40% - Accent5_PYG CemArgos consolidado" xfId="87" xr:uid="{00000000-0005-0000-0000-000052000000}"/>
    <cellStyle name="40% - Accent6" xfId="88" xr:uid="{00000000-0005-0000-0000-000053000000}"/>
    <cellStyle name="40% - Accent6 2" xfId="89" xr:uid="{00000000-0005-0000-0000-000054000000}"/>
    <cellStyle name="40% - Accent6 3" xfId="90" xr:uid="{00000000-0005-0000-0000-000055000000}"/>
    <cellStyle name="40% - Accent6_PYG CemArgos consolidado" xfId="91" xr:uid="{00000000-0005-0000-0000-000056000000}"/>
    <cellStyle name="40% - Énfasis1 2" xfId="92" xr:uid="{00000000-0005-0000-0000-000057000000}"/>
    <cellStyle name="40% - Énfasis1 2 2" xfId="93" xr:uid="{00000000-0005-0000-0000-000058000000}"/>
    <cellStyle name="40% - Énfasis1 2 2 2" xfId="94" xr:uid="{00000000-0005-0000-0000-000059000000}"/>
    <cellStyle name="40% - Énfasis1 2 2 2 2" xfId="1672" xr:uid="{51FECED9-2C39-471C-A889-58860A72E90D}"/>
    <cellStyle name="40% - Énfasis1 2 2 2 2 2" xfId="2317" xr:uid="{4CE4252D-3DB2-4C7C-9020-FD63498515E8}"/>
    <cellStyle name="40% - Énfasis1 2 2 2 2 2 2" xfId="3328" xr:uid="{4FE05999-B2EA-4B6C-8E67-A9F4A4B597E6}"/>
    <cellStyle name="40% - Énfasis1 2 2 2 2 2 2 2" xfId="5752" xr:uid="{A496179F-8F01-483B-8906-DD60627C2942}"/>
    <cellStyle name="40% - Énfasis1 2 2 2 2 2 2 2 2" xfId="10320" xr:uid="{8AB0EB77-DE57-4780-809A-02EFC63634AB}"/>
    <cellStyle name="40% - Énfasis1 2 2 2 2 2 2 3" xfId="8028" xr:uid="{12DDC781-2427-4266-94F7-B36A8CFADD2E}"/>
    <cellStyle name="40% - Énfasis1 2 2 2 2 2 3" xfId="4743" xr:uid="{36E70D03-91D4-4A42-B789-E6659820ECC7}"/>
    <cellStyle name="40% - Énfasis1 2 2 2 2 2 3 2" xfId="9311" xr:uid="{47EE02C6-89AC-4945-AAD9-6C99DDA074F0}"/>
    <cellStyle name="40% - Énfasis1 2 2 2 2 2 4" xfId="7019" xr:uid="{D174DE01-899F-4681-87ED-59E0B66A7777}"/>
    <cellStyle name="40% - Énfasis1 2 2 2 2 3" xfId="2900" xr:uid="{07F694F1-2588-4699-9918-003574AA42A8}"/>
    <cellStyle name="40% - Énfasis1 2 2 2 2 3 2" xfId="5324" xr:uid="{A4C83396-BDEF-44D5-AAA4-65CF07D0E604}"/>
    <cellStyle name="40% - Énfasis1 2 2 2 2 3 2 2" xfId="9892" xr:uid="{E1942608-5F4B-4980-91D1-7FDC4F55E135}"/>
    <cellStyle name="40% - Énfasis1 2 2 2 2 3 3" xfId="7600" xr:uid="{EDB6CF7C-55A8-4229-993C-C4FB13BB7347}"/>
    <cellStyle name="40% - Énfasis1 2 2 2 2 4" xfId="4315" xr:uid="{0E5D2411-0385-4A99-89B2-A937224CD6D2}"/>
    <cellStyle name="40% - Énfasis1 2 2 2 2 4 2" xfId="8883" xr:uid="{44B95114-131B-47B4-B8CE-FC6B5F6533EE}"/>
    <cellStyle name="40% - Énfasis1 2 2 2 2 5" xfId="6591" xr:uid="{CA8806AB-D3E6-4CBB-ADD5-53ECF21C67FB}"/>
    <cellStyle name="40% - Énfasis1 2 2 2 3" xfId="2022" xr:uid="{8AA75181-B880-4CD2-A905-F5E08CE63BBF}"/>
    <cellStyle name="40% - Énfasis1 2 2 2 3 2" xfId="3141" xr:uid="{00E928AD-EF1F-4C0B-A524-C671F5265E4B}"/>
    <cellStyle name="40% - Énfasis1 2 2 2 3 2 2" xfId="5565" xr:uid="{6EAF227E-27C4-4924-A60D-434FC8DF33AE}"/>
    <cellStyle name="40% - Énfasis1 2 2 2 3 2 2 2" xfId="10133" xr:uid="{5F4ABEE8-20C8-416A-9AAF-053539E08463}"/>
    <cellStyle name="40% - Énfasis1 2 2 2 3 2 3" xfId="7841" xr:uid="{4A7616C3-5A18-49E0-978D-7F4DBB4DAC17}"/>
    <cellStyle name="40% - Énfasis1 2 2 2 3 3" xfId="4556" xr:uid="{4B9399BB-E4E8-4A59-A964-DE99182856D0}"/>
    <cellStyle name="40% - Énfasis1 2 2 2 3 3 2" xfId="9124" xr:uid="{97F5CF6C-005A-468E-AFDD-21EAC3D75908}"/>
    <cellStyle name="40% - Énfasis1 2 2 2 3 4" xfId="6832" xr:uid="{DE6675FF-D8C6-4490-A4A9-8FC58EB0C1BC}"/>
    <cellStyle name="40% - Énfasis1 2 2 2 4" xfId="2699" xr:uid="{4E8D8EC3-BEBA-47D8-8225-2DB17D1BF874}"/>
    <cellStyle name="40% - Énfasis1 2 2 2 4 2" xfId="5125" xr:uid="{26C144AB-A223-4BEF-A8EC-28E2FB2FCB0E}"/>
    <cellStyle name="40% - Énfasis1 2 2 2 4 2 2" xfId="9693" xr:uid="{FBDDCD3C-6D1A-4508-A03A-8D84422C4026}"/>
    <cellStyle name="40% - Énfasis1 2 2 2 4 3" xfId="7401" xr:uid="{68DFD192-5ACE-4413-9F70-202277DA5B20}"/>
    <cellStyle name="40% - Énfasis1 2 2 2 5" xfId="4035" xr:uid="{9F89A4D1-3CB7-462E-A2E8-114E314BEAF5}"/>
    <cellStyle name="40% - Énfasis1 2 2 2 5 2" xfId="8604" xr:uid="{1CC328F5-AE40-4200-BE14-19114259B453}"/>
    <cellStyle name="40% - Énfasis1 2 2 2 6" xfId="6401" xr:uid="{58CAC040-C878-4FC1-BE3F-96FF3B50C8CB}"/>
    <cellStyle name="40% - Énfasis1 2 2 2 7" xfId="1387" xr:uid="{141BED2C-529B-478B-AE72-2295E4B8FBB2}"/>
    <cellStyle name="40% - Énfasis1 2 2 3" xfId="1671" xr:uid="{BB1870CE-58A0-4D49-A368-7E31B773D54A}"/>
    <cellStyle name="40% - Énfasis1 2 2 3 2" xfId="2316" xr:uid="{EC22BB1C-C1BB-4B65-B448-23537210957B}"/>
    <cellStyle name="40% - Énfasis1 2 2 3 2 2" xfId="3327" xr:uid="{4FD34B74-3D51-4FE8-B498-CE51FBA17C0E}"/>
    <cellStyle name="40% - Énfasis1 2 2 3 2 2 2" xfId="5751" xr:uid="{9D4AF0C5-8302-45C2-988C-EF81EF32FB6F}"/>
    <cellStyle name="40% - Énfasis1 2 2 3 2 2 2 2" xfId="10319" xr:uid="{AE60582E-F58E-43D0-B545-95A2C5796354}"/>
    <cellStyle name="40% - Énfasis1 2 2 3 2 2 3" xfId="8027" xr:uid="{794984FC-A6EA-48A8-8C92-80772EE0C292}"/>
    <cellStyle name="40% - Énfasis1 2 2 3 2 3" xfId="4742" xr:uid="{42E204AF-7B44-486D-AE66-FBC97ACF5E85}"/>
    <cellStyle name="40% - Énfasis1 2 2 3 2 3 2" xfId="9310" xr:uid="{CD9AA33D-82E7-4407-96CD-D9E54AB27ADE}"/>
    <cellStyle name="40% - Énfasis1 2 2 3 2 4" xfId="7018" xr:uid="{D8BD705B-6893-4323-831A-7722C0A38C7B}"/>
    <cellStyle name="40% - Énfasis1 2 2 3 3" xfId="2899" xr:uid="{808FA762-62EB-457E-B46F-A794A4BECD20}"/>
    <cellStyle name="40% - Énfasis1 2 2 3 3 2" xfId="5323" xr:uid="{5CF78500-1572-4718-A9E5-57FA06ECF839}"/>
    <cellStyle name="40% - Énfasis1 2 2 3 3 2 2" xfId="9891" xr:uid="{EDCFFB41-BAA6-4325-9FC9-CC75855EEE11}"/>
    <cellStyle name="40% - Énfasis1 2 2 3 3 3" xfId="7599" xr:uid="{0DA592FA-C5CF-435A-844B-81261536E456}"/>
    <cellStyle name="40% - Énfasis1 2 2 3 4" xfId="4314" xr:uid="{A0333EE8-E7A4-4726-BEB8-7E33B9DA6CE0}"/>
    <cellStyle name="40% - Énfasis1 2 2 3 4 2" xfId="8882" xr:uid="{26203DD3-8634-4247-92C9-2AA846F57544}"/>
    <cellStyle name="40% - Énfasis1 2 2 3 5" xfId="6590" xr:uid="{17B54276-E724-4F06-9439-9B2A84C4FA1C}"/>
    <cellStyle name="40% - Énfasis1 2 2 4" xfId="2021" xr:uid="{B16AA5A4-122C-487F-BF75-AD3BFF38B21E}"/>
    <cellStyle name="40% - Énfasis1 2 2 4 2" xfId="3140" xr:uid="{4780D84F-C4FB-4427-A5D1-36E54A6611D7}"/>
    <cellStyle name="40% - Énfasis1 2 2 4 2 2" xfId="5564" xr:uid="{6D23D40C-48AA-43B4-8C35-10227A8F19F4}"/>
    <cellStyle name="40% - Énfasis1 2 2 4 2 2 2" xfId="10132" xr:uid="{EB41E652-41DB-498E-B1DD-F56EA41C8B66}"/>
    <cellStyle name="40% - Énfasis1 2 2 4 2 3" xfId="7840" xr:uid="{C3442FAE-E0CC-4CE4-9BF1-B9D280CAA70A}"/>
    <cellStyle name="40% - Énfasis1 2 2 4 3" xfId="4555" xr:uid="{00E8FF56-7C42-4C04-9C8E-A491144B7C68}"/>
    <cellStyle name="40% - Énfasis1 2 2 4 3 2" xfId="9123" xr:uid="{15410883-F274-4016-B1D9-6E0EFEB5356C}"/>
    <cellStyle name="40% - Énfasis1 2 2 4 4" xfId="6831" xr:uid="{C27DA91A-4264-4EFB-B765-858BBFB424E9}"/>
    <cellStyle name="40% - Énfasis1 2 2 5" xfId="2698" xr:uid="{2E0C3BCC-908A-47C0-BF08-E4129DD8F884}"/>
    <cellStyle name="40% - Énfasis1 2 2 5 2" xfId="5124" xr:uid="{8B5BE45F-5CCB-435F-A7C4-A5622120632A}"/>
    <cellStyle name="40% - Énfasis1 2 2 5 2 2" xfId="9692" xr:uid="{1F323BC6-A4C3-47A8-8F21-1D52648D1A31}"/>
    <cellStyle name="40% - Énfasis1 2 2 5 3" xfId="7400" xr:uid="{3C6C257B-659D-47F4-AD9B-670147288CAE}"/>
    <cellStyle name="40% - Énfasis1 2 2 6" xfId="4034" xr:uid="{62B9D5F2-4739-418A-B24F-F49185F55616}"/>
    <cellStyle name="40% - Énfasis1 2 2 6 2" xfId="8603" xr:uid="{D7036D08-6C94-4216-887E-7977D4E8BE2D}"/>
    <cellStyle name="40% - Énfasis1 2 2 7" xfId="6400" xr:uid="{1330BAE8-A927-43E7-B6D7-7188D8B6793F}"/>
    <cellStyle name="40% - Énfasis1 2 2 8" xfId="1386" xr:uid="{74DED974-942C-4DFF-A263-63BD21977B75}"/>
    <cellStyle name="40% - Énfasis1 2 3" xfId="95" xr:uid="{00000000-0005-0000-0000-00005A000000}"/>
    <cellStyle name="40% - Énfasis1 2 3 2" xfId="1673" xr:uid="{BFD23E6D-76B9-4EC6-B44B-46F1FC86EAE0}"/>
    <cellStyle name="40% - Énfasis1 2 3 2 2" xfId="2318" xr:uid="{2E847A91-A04F-466A-BDF0-863C849A328C}"/>
    <cellStyle name="40% - Énfasis1 2 3 2 2 2" xfId="3329" xr:uid="{8DAF3FA0-BCAB-4637-BC08-9E5454D3B44E}"/>
    <cellStyle name="40% - Énfasis1 2 3 2 2 2 2" xfId="5753" xr:uid="{06C4E0AB-A945-4693-8333-A09FFDD58072}"/>
    <cellStyle name="40% - Énfasis1 2 3 2 2 2 2 2" xfId="10321" xr:uid="{26B341CA-A10A-49B0-AF41-4490F26F96AC}"/>
    <cellStyle name="40% - Énfasis1 2 3 2 2 2 3" xfId="8029" xr:uid="{DA820B8B-E071-4F2F-AA55-83FEFCD91523}"/>
    <cellStyle name="40% - Énfasis1 2 3 2 2 3" xfId="4744" xr:uid="{393C39F7-2B72-4353-98A8-997F0FF28B1D}"/>
    <cellStyle name="40% - Énfasis1 2 3 2 2 3 2" xfId="9312" xr:uid="{4179D202-67DE-459D-8120-CC5C1C0286D8}"/>
    <cellStyle name="40% - Énfasis1 2 3 2 2 4" xfId="7020" xr:uid="{2D574AE8-36C4-4041-A348-7979DF4C261E}"/>
    <cellStyle name="40% - Énfasis1 2 3 2 3" xfId="2901" xr:uid="{C3704048-DC56-44AC-852A-F331916FAED5}"/>
    <cellStyle name="40% - Énfasis1 2 3 2 3 2" xfId="5325" xr:uid="{432E5971-320D-4123-B4C8-6C21BEE116AC}"/>
    <cellStyle name="40% - Énfasis1 2 3 2 3 2 2" xfId="9893" xr:uid="{E7591CDE-6A4E-40D7-BD36-600729A22B70}"/>
    <cellStyle name="40% - Énfasis1 2 3 2 3 3" xfId="7601" xr:uid="{87349480-18AD-458D-B191-22BA46B4B0A2}"/>
    <cellStyle name="40% - Énfasis1 2 3 2 4" xfId="4316" xr:uid="{2B89C971-4AF1-456E-B523-4779DFC9A389}"/>
    <cellStyle name="40% - Énfasis1 2 3 2 4 2" xfId="8884" xr:uid="{550E9AA5-3678-49EE-BD68-46F5D23F1D85}"/>
    <cellStyle name="40% - Énfasis1 2 3 2 5" xfId="6592" xr:uid="{1E894FB2-6615-42D8-8A89-B50498D96D9E}"/>
    <cellStyle name="40% - Énfasis1 2 3 3" xfId="2023" xr:uid="{0060B3E6-5AD8-4F02-84B7-13B74D8EC5C7}"/>
    <cellStyle name="40% - Énfasis1 2 3 3 2" xfId="3142" xr:uid="{0604E265-6325-4C4C-AC85-F4F06C99E7DB}"/>
    <cellStyle name="40% - Énfasis1 2 3 3 2 2" xfId="5566" xr:uid="{AAEBF0D0-9036-4B83-84F3-7D0CA58B5D6A}"/>
    <cellStyle name="40% - Énfasis1 2 3 3 2 2 2" xfId="10134" xr:uid="{D4F7AEEC-D3D7-4669-99EF-A409D352034B}"/>
    <cellStyle name="40% - Énfasis1 2 3 3 2 3" xfId="7842" xr:uid="{B6A1572B-9F67-4AD3-BAE3-4092F5033E9C}"/>
    <cellStyle name="40% - Énfasis1 2 3 3 3" xfId="4557" xr:uid="{856EC653-007E-4A33-92D9-7A217DD0F6CD}"/>
    <cellStyle name="40% - Énfasis1 2 3 3 3 2" xfId="9125" xr:uid="{5AA979F4-FEBD-43F0-A4B3-03BEBE2F06FF}"/>
    <cellStyle name="40% - Énfasis1 2 3 3 4" xfId="6833" xr:uid="{FD0E75B7-7068-4036-BCBD-7629F3600A11}"/>
    <cellStyle name="40% - Énfasis1 2 3 4" xfId="2700" xr:uid="{9FCEB12B-0793-408C-8673-67234CAEA058}"/>
    <cellStyle name="40% - Énfasis1 2 3 4 2" xfId="5126" xr:uid="{E7645558-0BE7-4DC9-8392-8834A1D84534}"/>
    <cellStyle name="40% - Énfasis1 2 3 4 2 2" xfId="9694" xr:uid="{52FE01EB-613C-44D3-B20B-A3BC75B67F3A}"/>
    <cellStyle name="40% - Énfasis1 2 3 4 3" xfId="7402" xr:uid="{FBC4B589-DBDE-4A0A-AD0C-E83B007D7DA8}"/>
    <cellStyle name="40% - Énfasis1 2 3 5" xfId="4036" xr:uid="{3C1E8B1A-9BD7-49EA-8AF7-D2BA0A684CC4}"/>
    <cellStyle name="40% - Énfasis1 2 3 5 2" xfId="8605" xr:uid="{80B55D67-8744-430E-BE12-CE8B80A1762D}"/>
    <cellStyle name="40% - Énfasis1 2 3 6" xfId="6402" xr:uid="{3AE43B80-FA68-42AA-8E62-608F12EA88D1}"/>
    <cellStyle name="40% - Énfasis1 2 3 7" xfId="1388" xr:uid="{36AABB8C-DA43-454C-BED3-FD916542767C}"/>
    <cellStyle name="40% - Énfasis1 2 4" xfId="1670" xr:uid="{4AE9133D-FB17-4FA2-9A16-808891AD27DA}"/>
    <cellStyle name="40% - Énfasis1 2 4 2" xfId="2315" xr:uid="{EF676AE9-3C26-46A8-808F-05568DEC3209}"/>
    <cellStyle name="40% - Énfasis1 2 4 2 2" xfId="3326" xr:uid="{EB93DB33-C2BC-4E81-9AF7-5CCB6B60257A}"/>
    <cellStyle name="40% - Énfasis1 2 4 2 2 2" xfId="5750" xr:uid="{0BFD3ED7-EDC2-4903-A820-4155AEE5D1AC}"/>
    <cellStyle name="40% - Énfasis1 2 4 2 2 2 2" xfId="10318" xr:uid="{334801E9-D3D6-4558-B8E0-348C019A9145}"/>
    <cellStyle name="40% - Énfasis1 2 4 2 2 3" xfId="8026" xr:uid="{AE8C2EE2-79DA-42A7-B63E-22C9D3598243}"/>
    <cellStyle name="40% - Énfasis1 2 4 2 3" xfId="4741" xr:uid="{17E5D36E-BA78-427D-9B52-7F9CA47EAA6A}"/>
    <cellStyle name="40% - Énfasis1 2 4 2 3 2" xfId="9309" xr:uid="{0E3ADE67-47CA-4E5F-9D64-DD15F308CCFA}"/>
    <cellStyle name="40% - Énfasis1 2 4 2 4" xfId="7017" xr:uid="{A4740E10-B46B-4AD4-A517-895F531A0D12}"/>
    <cellStyle name="40% - Énfasis1 2 4 3" xfId="2898" xr:uid="{889671F2-A982-4C27-ADC9-46E222FC68E6}"/>
    <cellStyle name="40% - Énfasis1 2 4 3 2" xfId="5322" xr:uid="{67F999EC-95EB-495A-A436-9F19EF9E79E2}"/>
    <cellStyle name="40% - Énfasis1 2 4 3 2 2" xfId="9890" xr:uid="{A848563E-D9AD-4FFF-B8DD-1DC73F68BD9F}"/>
    <cellStyle name="40% - Énfasis1 2 4 3 3" xfId="7598" xr:uid="{D4B0FE50-A4FB-4EAE-B85D-643BB0602552}"/>
    <cellStyle name="40% - Énfasis1 2 4 4" xfId="4313" xr:uid="{B470D7BD-2231-46A6-84E9-78E54D2ED60B}"/>
    <cellStyle name="40% - Énfasis1 2 4 4 2" xfId="8881" xr:uid="{D318BE65-525B-4427-8319-29AA1B781E2E}"/>
    <cellStyle name="40% - Énfasis1 2 4 5" xfId="6589" xr:uid="{9A9A3C96-C1CD-4822-80E9-DBDF0B1C420E}"/>
    <cellStyle name="40% - Énfasis1 2 5" xfId="2020" xr:uid="{54715526-382A-4DBC-B0D7-765794B2420A}"/>
    <cellStyle name="40% - Énfasis1 2 5 2" xfId="3139" xr:uid="{9DE1EDB1-F06D-42AA-881E-439348D58EF4}"/>
    <cellStyle name="40% - Énfasis1 2 5 2 2" xfId="5563" xr:uid="{F5D8FCE1-701C-4084-9BE1-44ACFE999B48}"/>
    <cellStyle name="40% - Énfasis1 2 5 2 2 2" xfId="10131" xr:uid="{1886A4E6-A32C-495C-AE3D-8FFF9BED271A}"/>
    <cellStyle name="40% - Énfasis1 2 5 2 3" xfId="7839" xr:uid="{46B1496C-067D-4BE9-BF3C-6AF7A94A1F98}"/>
    <cellStyle name="40% - Énfasis1 2 5 3" xfId="4554" xr:uid="{E6442053-6F41-476C-911D-5CEE262702D6}"/>
    <cellStyle name="40% - Énfasis1 2 5 3 2" xfId="9122" xr:uid="{1C89552A-F3E7-41A8-B0CA-D1AD16B2A614}"/>
    <cellStyle name="40% - Énfasis1 2 5 4" xfId="6830" xr:uid="{936789B5-A871-4D90-993C-43C9647E1853}"/>
    <cellStyle name="40% - Énfasis1 2 6" xfId="2697" xr:uid="{160D20C5-438B-4856-BB96-645E5207FA80}"/>
    <cellStyle name="40% - Énfasis1 2 6 2" xfId="5123" xr:uid="{30B52B8A-ECBD-452D-BC1E-4E3D2788BBCE}"/>
    <cellStyle name="40% - Énfasis1 2 6 2 2" xfId="9691" xr:uid="{F1CCFB87-01E6-4ADB-B2DD-E6D53F04E82F}"/>
    <cellStyle name="40% - Énfasis1 2 6 3" xfId="7399" xr:uid="{978DC214-05EB-416F-B691-2F7F33EA5AE3}"/>
    <cellStyle name="40% - Énfasis1 2 7" xfId="4033" xr:uid="{21C658A5-42F6-4BB8-B624-80BC613D679F}"/>
    <cellStyle name="40% - Énfasis1 2 7 2" xfId="8602" xr:uid="{43BC7DDC-6904-43DE-973C-769CCC593898}"/>
    <cellStyle name="40% - Énfasis1 2 8" xfId="6399" xr:uid="{37564425-2447-476F-A4B4-EDD70C63632E}"/>
    <cellStyle name="40% - Énfasis1 2 9" xfId="1385" xr:uid="{BC30A12D-98D6-4711-BE8D-063C25DDDD70}"/>
    <cellStyle name="40% - Énfasis1 3" xfId="96" xr:uid="{00000000-0005-0000-0000-00005B000000}"/>
    <cellStyle name="40% - Énfasis1 4" xfId="97" xr:uid="{00000000-0005-0000-0000-00005C000000}"/>
    <cellStyle name="40% - Énfasis2 2" xfId="98" xr:uid="{00000000-0005-0000-0000-00005D000000}"/>
    <cellStyle name="40% - Énfasis2 2 2" xfId="99" xr:uid="{00000000-0005-0000-0000-00005E000000}"/>
    <cellStyle name="40% - Énfasis2 2 2 2" xfId="100" xr:uid="{00000000-0005-0000-0000-00005F000000}"/>
    <cellStyle name="40% - Énfasis2 2 2 2 2" xfId="1676" xr:uid="{EA2BB51D-C5C6-4B19-9191-01CA41F7D029}"/>
    <cellStyle name="40% - Énfasis2 2 2 2 2 2" xfId="2321" xr:uid="{ADB63C3E-FCCA-4565-823C-CF26C554EA38}"/>
    <cellStyle name="40% - Énfasis2 2 2 2 2 2 2" xfId="3332" xr:uid="{CCA015B5-C602-4901-851E-994D44CE987F}"/>
    <cellStyle name="40% - Énfasis2 2 2 2 2 2 2 2" xfId="5756" xr:uid="{48046893-990A-4DDD-87CB-AA3119DE762D}"/>
    <cellStyle name="40% - Énfasis2 2 2 2 2 2 2 2 2" xfId="10324" xr:uid="{09D1C424-004B-46A2-815D-7BD58E5D74E3}"/>
    <cellStyle name="40% - Énfasis2 2 2 2 2 2 2 3" xfId="8032" xr:uid="{CB87DAFA-A071-486D-B629-8703C20C5B8E}"/>
    <cellStyle name="40% - Énfasis2 2 2 2 2 2 3" xfId="4747" xr:uid="{AF960CE7-E70B-41DE-B8D5-FC9D0B55BA22}"/>
    <cellStyle name="40% - Énfasis2 2 2 2 2 2 3 2" xfId="9315" xr:uid="{799B77AF-9B79-4009-8543-8D0DE0311CF1}"/>
    <cellStyle name="40% - Énfasis2 2 2 2 2 2 4" xfId="7023" xr:uid="{110A43A5-DACD-4F8E-A013-8F8080C2E8C9}"/>
    <cellStyle name="40% - Énfasis2 2 2 2 2 3" xfId="2904" xr:uid="{28B8506C-BD0F-4EC1-84B3-FA51CED974AC}"/>
    <cellStyle name="40% - Énfasis2 2 2 2 2 3 2" xfId="5328" xr:uid="{C99FCCAA-3C20-4769-8709-AAD58C32EC9E}"/>
    <cellStyle name="40% - Énfasis2 2 2 2 2 3 2 2" xfId="9896" xr:uid="{E157D8D0-95BC-4D3C-8AAD-A99E92D00F3B}"/>
    <cellStyle name="40% - Énfasis2 2 2 2 2 3 3" xfId="7604" xr:uid="{9ABA6E3E-7644-4FE6-A970-3744006D1762}"/>
    <cellStyle name="40% - Énfasis2 2 2 2 2 4" xfId="4319" xr:uid="{935F268B-7401-46CC-91A2-A2079C15A50A}"/>
    <cellStyle name="40% - Énfasis2 2 2 2 2 4 2" xfId="8887" xr:uid="{0DB4A553-B522-415E-9D39-9043CEAC2F18}"/>
    <cellStyle name="40% - Énfasis2 2 2 2 2 5" xfId="6595" xr:uid="{7A56F1C3-7F6D-4F90-985B-12842E724D6B}"/>
    <cellStyle name="40% - Énfasis2 2 2 2 3" xfId="2026" xr:uid="{0C0F0959-ED1A-40A7-BE92-3FE88316D02B}"/>
    <cellStyle name="40% - Énfasis2 2 2 2 3 2" xfId="3145" xr:uid="{7BA739A0-0965-4884-90A0-A455D62C2B0F}"/>
    <cellStyle name="40% - Énfasis2 2 2 2 3 2 2" xfId="5569" xr:uid="{62476086-A503-4D65-AB6B-6092524A640B}"/>
    <cellStyle name="40% - Énfasis2 2 2 2 3 2 2 2" xfId="10137" xr:uid="{3F89AC70-B0B7-481B-9105-4B7862340D84}"/>
    <cellStyle name="40% - Énfasis2 2 2 2 3 2 3" xfId="7845" xr:uid="{A76B7122-6D02-422B-BA9A-7D74491ED305}"/>
    <cellStyle name="40% - Énfasis2 2 2 2 3 3" xfId="4560" xr:uid="{5FB25883-0B24-4FF0-BF18-376D352FE102}"/>
    <cellStyle name="40% - Énfasis2 2 2 2 3 3 2" xfId="9128" xr:uid="{DA8522A8-0B72-4DEC-8B3D-B20E7BF044D6}"/>
    <cellStyle name="40% - Énfasis2 2 2 2 3 4" xfId="6836" xr:uid="{C276D146-EFC5-47C7-B537-CAC3836D08D3}"/>
    <cellStyle name="40% - Énfasis2 2 2 2 4" xfId="2703" xr:uid="{B77FB5DD-585A-44D3-8656-7BFDF338F264}"/>
    <cellStyle name="40% - Énfasis2 2 2 2 4 2" xfId="5129" xr:uid="{A144EAB5-79D9-4FED-B133-9C9CE3AFE480}"/>
    <cellStyle name="40% - Énfasis2 2 2 2 4 2 2" xfId="9697" xr:uid="{73F129B1-0929-48B8-875F-2A5562DFF32F}"/>
    <cellStyle name="40% - Énfasis2 2 2 2 4 3" xfId="7405" xr:uid="{916924CC-9348-4025-9FEF-91DB979394DF}"/>
    <cellStyle name="40% - Énfasis2 2 2 2 5" xfId="4039" xr:uid="{EFA2CCE0-9957-4C3A-8ED8-C29B195BA516}"/>
    <cellStyle name="40% - Énfasis2 2 2 2 5 2" xfId="8608" xr:uid="{7928402D-FF63-4C86-8338-79EA821C5649}"/>
    <cellStyle name="40% - Énfasis2 2 2 2 6" xfId="6405" xr:uid="{A8675B79-409E-4A97-A729-B9044334BC75}"/>
    <cellStyle name="40% - Énfasis2 2 2 2 7" xfId="1391" xr:uid="{D03FB154-1EC3-4B8E-8BE2-6DAF8AE1D4BF}"/>
    <cellStyle name="40% - Énfasis2 2 2 3" xfId="1675" xr:uid="{92C72539-AE88-49E9-9952-E2EBA0AE71E9}"/>
    <cellStyle name="40% - Énfasis2 2 2 3 2" xfId="2320" xr:uid="{63232668-2FA1-4413-A1A4-9F0C6E7E1A33}"/>
    <cellStyle name="40% - Énfasis2 2 2 3 2 2" xfId="3331" xr:uid="{9BF57463-9BB4-425E-B8BE-7B0071DA5BFD}"/>
    <cellStyle name="40% - Énfasis2 2 2 3 2 2 2" xfId="5755" xr:uid="{61F37C78-BD93-491D-B583-1830A9518336}"/>
    <cellStyle name="40% - Énfasis2 2 2 3 2 2 2 2" xfId="10323" xr:uid="{511B7236-3732-4C03-8576-96F855BB4439}"/>
    <cellStyle name="40% - Énfasis2 2 2 3 2 2 3" xfId="8031" xr:uid="{2E36E6E3-CDA5-4E74-AF4F-9C5D0A05C4F2}"/>
    <cellStyle name="40% - Énfasis2 2 2 3 2 3" xfId="4746" xr:uid="{716EEB77-252F-4541-8AB6-1FF24B497205}"/>
    <cellStyle name="40% - Énfasis2 2 2 3 2 3 2" xfId="9314" xr:uid="{6EC84C18-1A21-4131-A099-DFD16C34BE9F}"/>
    <cellStyle name="40% - Énfasis2 2 2 3 2 4" xfId="7022" xr:uid="{BD5BA5E7-420E-4215-AD1A-07C869F13233}"/>
    <cellStyle name="40% - Énfasis2 2 2 3 3" xfId="2903" xr:uid="{6399029C-6D2D-4D46-92A5-7EABE08136FE}"/>
    <cellStyle name="40% - Énfasis2 2 2 3 3 2" xfId="5327" xr:uid="{CC19EFA2-CFF4-4610-A313-CD3C78E67D43}"/>
    <cellStyle name="40% - Énfasis2 2 2 3 3 2 2" xfId="9895" xr:uid="{D5303DD8-FD2D-4631-BD69-3906D6A43E0B}"/>
    <cellStyle name="40% - Énfasis2 2 2 3 3 3" xfId="7603" xr:uid="{B5481C73-2CC3-4770-860E-731AD514DB37}"/>
    <cellStyle name="40% - Énfasis2 2 2 3 4" xfId="4318" xr:uid="{58E4BDDF-3783-4D39-8CDE-35768990E969}"/>
    <cellStyle name="40% - Énfasis2 2 2 3 4 2" xfId="8886" xr:uid="{FDE2428F-9989-4354-ABAC-10FE08135363}"/>
    <cellStyle name="40% - Énfasis2 2 2 3 5" xfId="6594" xr:uid="{A91EB8FC-8F1D-423C-96B7-10D42511181E}"/>
    <cellStyle name="40% - Énfasis2 2 2 4" xfId="2025" xr:uid="{F2D81FA1-CFFC-4D33-9111-8738C02A9333}"/>
    <cellStyle name="40% - Énfasis2 2 2 4 2" xfId="3144" xr:uid="{CFC9D9D3-CF62-4D22-B591-1EF59AC5FE88}"/>
    <cellStyle name="40% - Énfasis2 2 2 4 2 2" xfId="5568" xr:uid="{FC23C076-D158-4BA8-BA7A-DDE55A5A500A}"/>
    <cellStyle name="40% - Énfasis2 2 2 4 2 2 2" xfId="10136" xr:uid="{186B118B-781B-4342-A651-4E881744FDC3}"/>
    <cellStyle name="40% - Énfasis2 2 2 4 2 3" xfId="7844" xr:uid="{8A345385-D4AB-4765-A83F-11296B8638F5}"/>
    <cellStyle name="40% - Énfasis2 2 2 4 3" xfId="4559" xr:uid="{88BECF3F-F645-42A9-9DC0-FDD81AE13D09}"/>
    <cellStyle name="40% - Énfasis2 2 2 4 3 2" xfId="9127" xr:uid="{525950B7-9A4C-4BFE-80F4-1C0FA2E08E61}"/>
    <cellStyle name="40% - Énfasis2 2 2 4 4" xfId="6835" xr:uid="{760F386F-EB71-46BB-BEF5-B98AB22BA30D}"/>
    <cellStyle name="40% - Énfasis2 2 2 5" xfId="2702" xr:uid="{4BB948FB-0C31-4996-9AAA-329530C81436}"/>
    <cellStyle name="40% - Énfasis2 2 2 5 2" xfId="5128" xr:uid="{2E9C811D-BF72-4F79-88F2-1BD72355CE52}"/>
    <cellStyle name="40% - Énfasis2 2 2 5 2 2" xfId="9696" xr:uid="{9A67712A-E24F-4EE0-AF2E-6C957EDC4E90}"/>
    <cellStyle name="40% - Énfasis2 2 2 5 3" xfId="7404" xr:uid="{4679AF57-5F59-468F-9ED7-4B470C8F5AE8}"/>
    <cellStyle name="40% - Énfasis2 2 2 6" xfId="4038" xr:uid="{B49C0E5A-2D71-4A14-AFF3-A2E7B0000EF3}"/>
    <cellStyle name="40% - Énfasis2 2 2 6 2" xfId="8607" xr:uid="{F51FD415-40DC-4424-B0C3-70DE99F19B6F}"/>
    <cellStyle name="40% - Énfasis2 2 2 7" xfId="6404" xr:uid="{63D326EB-A3AF-44DB-B8E0-CA5BDBC282FA}"/>
    <cellStyle name="40% - Énfasis2 2 2 8" xfId="1390" xr:uid="{51D36AAE-0CBB-4410-880A-206C07BE6F00}"/>
    <cellStyle name="40% - Énfasis2 2 3" xfId="101" xr:uid="{00000000-0005-0000-0000-000060000000}"/>
    <cellStyle name="40% - Énfasis2 2 3 2" xfId="1677" xr:uid="{B0102643-A7E2-42BE-8E16-70ED80A72D35}"/>
    <cellStyle name="40% - Énfasis2 2 3 2 2" xfId="2322" xr:uid="{2C0E557E-6597-48CD-B08C-0A01FEB1F267}"/>
    <cellStyle name="40% - Énfasis2 2 3 2 2 2" xfId="3333" xr:uid="{803042B9-B3A3-4074-B20D-51B40F6820BB}"/>
    <cellStyle name="40% - Énfasis2 2 3 2 2 2 2" xfId="5757" xr:uid="{03C77585-E5AF-4015-A516-706571BBEDA6}"/>
    <cellStyle name="40% - Énfasis2 2 3 2 2 2 2 2" xfId="10325" xr:uid="{A1C118A7-BCD2-4FB5-BC41-C61ED5319319}"/>
    <cellStyle name="40% - Énfasis2 2 3 2 2 2 3" xfId="8033" xr:uid="{0E40A454-C265-4FF6-82F5-C7DE5CF565F2}"/>
    <cellStyle name="40% - Énfasis2 2 3 2 2 3" xfId="4748" xr:uid="{82887900-7773-4A37-AC6A-C4D626DBBE5B}"/>
    <cellStyle name="40% - Énfasis2 2 3 2 2 3 2" xfId="9316" xr:uid="{6E5D3B7B-4230-4C13-9CD7-87F0CB8E5E69}"/>
    <cellStyle name="40% - Énfasis2 2 3 2 2 4" xfId="7024" xr:uid="{6FBD092C-B140-4B0F-AEE7-44A9F151DB0A}"/>
    <cellStyle name="40% - Énfasis2 2 3 2 3" xfId="2905" xr:uid="{B3102F02-9544-474D-99D1-C3BC0A610DFD}"/>
    <cellStyle name="40% - Énfasis2 2 3 2 3 2" xfId="5329" xr:uid="{AA3CFD25-AABA-4949-9C28-EB70DAEA4FF4}"/>
    <cellStyle name="40% - Énfasis2 2 3 2 3 2 2" xfId="9897" xr:uid="{165839B0-52D2-47D7-995F-566FFF63E172}"/>
    <cellStyle name="40% - Énfasis2 2 3 2 3 3" xfId="7605" xr:uid="{B0FE37C5-3754-49C5-9C93-64CB75F2D896}"/>
    <cellStyle name="40% - Énfasis2 2 3 2 4" xfId="4320" xr:uid="{C75A026F-5D6E-432E-B8D0-52E12B7B2285}"/>
    <cellStyle name="40% - Énfasis2 2 3 2 4 2" xfId="8888" xr:uid="{DBDB5A55-60EE-4D98-84B9-3707619A3068}"/>
    <cellStyle name="40% - Énfasis2 2 3 2 5" xfId="6596" xr:uid="{1B092D25-A069-4225-99A2-4F76489D0161}"/>
    <cellStyle name="40% - Énfasis2 2 3 3" xfId="2027" xr:uid="{27526638-8BC1-4255-A2C3-B957C658A92C}"/>
    <cellStyle name="40% - Énfasis2 2 3 3 2" xfId="3146" xr:uid="{F3011AF9-74B2-4AA2-A83D-68332086C9D5}"/>
    <cellStyle name="40% - Énfasis2 2 3 3 2 2" xfId="5570" xr:uid="{CE05C6A3-996F-4057-A4AD-F7F9B085DBD8}"/>
    <cellStyle name="40% - Énfasis2 2 3 3 2 2 2" xfId="10138" xr:uid="{9F0795B3-8A0F-48D4-A714-63C7EDEAA468}"/>
    <cellStyle name="40% - Énfasis2 2 3 3 2 3" xfId="7846" xr:uid="{149298E0-5286-466E-A561-3BAA9387D88E}"/>
    <cellStyle name="40% - Énfasis2 2 3 3 3" xfId="4561" xr:uid="{2D5EF0DB-FB4D-4F0A-BD8C-52CC82F66DB1}"/>
    <cellStyle name="40% - Énfasis2 2 3 3 3 2" xfId="9129" xr:uid="{D39930B9-DE46-4323-9AB9-10661C06468B}"/>
    <cellStyle name="40% - Énfasis2 2 3 3 4" xfId="6837" xr:uid="{500D3F4E-C54F-49C5-AEBC-5FA263D48789}"/>
    <cellStyle name="40% - Énfasis2 2 3 4" xfId="2704" xr:uid="{D745D513-8F80-4A12-9045-320C533ABEA5}"/>
    <cellStyle name="40% - Énfasis2 2 3 4 2" xfId="5130" xr:uid="{B84F654D-FB45-4732-94CC-CD9CDF85C0B9}"/>
    <cellStyle name="40% - Énfasis2 2 3 4 2 2" xfId="9698" xr:uid="{B6BF0CE5-5C75-43C4-81D8-C5A1A54A64BA}"/>
    <cellStyle name="40% - Énfasis2 2 3 4 3" xfId="7406" xr:uid="{8D4F7AED-B4F5-4326-BA2B-6171D79F8B09}"/>
    <cellStyle name="40% - Énfasis2 2 3 5" xfId="4040" xr:uid="{DD101844-647F-4F40-B2A5-093ED46F617B}"/>
    <cellStyle name="40% - Énfasis2 2 3 5 2" xfId="8609" xr:uid="{CFF6B362-DBB6-426C-AB39-97EFCD1AE42D}"/>
    <cellStyle name="40% - Énfasis2 2 3 6" xfId="6406" xr:uid="{98B7F340-F3BC-44ED-8DE7-3B5E8EEF5CC6}"/>
    <cellStyle name="40% - Énfasis2 2 3 7" xfId="1392" xr:uid="{33308F6E-2898-4845-A4F4-5E45904D665F}"/>
    <cellStyle name="40% - Énfasis2 2 4" xfId="1674" xr:uid="{8C6481B2-D051-4F95-9EC2-6A5C7A8BA695}"/>
    <cellStyle name="40% - Énfasis2 2 4 2" xfId="2319" xr:uid="{D62CC4E4-DA5B-4239-8D81-0E006FAD335D}"/>
    <cellStyle name="40% - Énfasis2 2 4 2 2" xfId="3330" xr:uid="{858E809D-46C6-4A58-BC46-7F1E1E47669B}"/>
    <cellStyle name="40% - Énfasis2 2 4 2 2 2" xfId="5754" xr:uid="{83A5B095-0C8D-4865-AC5B-42DFC05561EA}"/>
    <cellStyle name="40% - Énfasis2 2 4 2 2 2 2" xfId="10322" xr:uid="{851DAAA7-54D7-40BF-B6C5-F4C7230EB23E}"/>
    <cellStyle name="40% - Énfasis2 2 4 2 2 3" xfId="8030" xr:uid="{1E16190A-5CEA-45AC-86D1-F901C0FE8C88}"/>
    <cellStyle name="40% - Énfasis2 2 4 2 3" xfId="4745" xr:uid="{EA8C4993-9DA6-4777-975C-DB67941D92F3}"/>
    <cellStyle name="40% - Énfasis2 2 4 2 3 2" xfId="9313" xr:uid="{B674AD66-7672-43DC-BB7A-FA055903942A}"/>
    <cellStyle name="40% - Énfasis2 2 4 2 4" xfId="7021" xr:uid="{6E1367CA-7A36-40C1-84C1-86AFF33A20FE}"/>
    <cellStyle name="40% - Énfasis2 2 4 3" xfId="2902" xr:uid="{3C8A1027-5C39-4AA3-9E24-6C28604D957A}"/>
    <cellStyle name="40% - Énfasis2 2 4 3 2" xfId="5326" xr:uid="{E47A994F-B155-4BCF-9D1C-173E613CAC4E}"/>
    <cellStyle name="40% - Énfasis2 2 4 3 2 2" xfId="9894" xr:uid="{64B94107-9A54-484D-8F15-733B306EC6ED}"/>
    <cellStyle name="40% - Énfasis2 2 4 3 3" xfId="7602" xr:uid="{F6B0B6F9-1C6D-478D-8A80-A079B53AD314}"/>
    <cellStyle name="40% - Énfasis2 2 4 4" xfId="4317" xr:uid="{F0CE5968-8144-4270-8309-BD5C860A0B29}"/>
    <cellStyle name="40% - Énfasis2 2 4 4 2" xfId="8885" xr:uid="{9B1B7F50-BFB4-4303-84D7-6EEC8B526391}"/>
    <cellStyle name="40% - Énfasis2 2 4 5" xfId="6593" xr:uid="{D8086017-6B77-403C-A73C-88B8D93E614C}"/>
    <cellStyle name="40% - Énfasis2 2 5" xfId="2024" xr:uid="{EB399DE4-0930-44C8-AE5A-4120A181BDDE}"/>
    <cellStyle name="40% - Énfasis2 2 5 2" xfId="3143" xr:uid="{ADCEC720-62A7-422E-A5B5-F939AE8AA86A}"/>
    <cellStyle name="40% - Énfasis2 2 5 2 2" xfId="5567" xr:uid="{A9377D04-083D-4697-9319-EBDC1D1DCE8C}"/>
    <cellStyle name="40% - Énfasis2 2 5 2 2 2" xfId="10135" xr:uid="{BC26B8B2-B081-40FB-86D5-3297E3CFFB60}"/>
    <cellStyle name="40% - Énfasis2 2 5 2 3" xfId="7843" xr:uid="{9032958D-E466-4C6E-97E7-51C430BA3E75}"/>
    <cellStyle name="40% - Énfasis2 2 5 3" xfId="4558" xr:uid="{54264A7F-E016-42BB-95F2-22A7EC071E56}"/>
    <cellStyle name="40% - Énfasis2 2 5 3 2" xfId="9126" xr:uid="{3A29476D-AC7D-4CD3-AD77-AE71C58608A9}"/>
    <cellStyle name="40% - Énfasis2 2 5 4" xfId="6834" xr:uid="{63458136-FD36-4617-B2EF-5A7CB45AA80D}"/>
    <cellStyle name="40% - Énfasis2 2 6" xfId="2701" xr:uid="{66587566-F2C9-46F5-8C35-7D69AE12795A}"/>
    <cellStyle name="40% - Énfasis2 2 6 2" xfId="5127" xr:uid="{536FABE0-3145-4797-A4D5-2B6C384D3729}"/>
    <cellStyle name="40% - Énfasis2 2 6 2 2" xfId="9695" xr:uid="{42BAAFB3-E673-4F10-921A-9D3B7480B7B3}"/>
    <cellStyle name="40% - Énfasis2 2 6 3" xfId="7403" xr:uid="{C0B8BEFE-7AE4-44C2-958D-1F2636A86EF2}"/>
    <cellStyle name="40% - Énfasis2 2 7" xfId="4037" xr:uid="{68F3D31F-ABF3-4E21-8E65-371493EBB672}"/>
    <cellStyle name="40% - Énfasis2 2 7 2" xfId="8606" xr:uid="{999CD003-CC1E-45CE-9F04-C70F3EC9F1EE}"/>
    <cellStyle name="40% - Énfasis2 2 8" xfId="6403" xr:uid="{7AD58ABF-1F61-40B3-ACEB-B3DF6F81E313}"/>
    <cellStyle name="40% - Énfasis2 2 9" xfId="1389" xr:uid="{84BA4469-9438-468D-A93A-6B5247D3EB1A}"/>
    <cellStyle name="40% - Énfasis2 3" xfId="102" xr:uid="{00000000-0005-0000-0000-000061000000}"/>
    <cellStyle name="40% - Énfasis2 4" xfId="103" xr:uid="{00000000-0005-0000-0000-000062000000}"/>
    <cellStyle name="40% - Énfasis3 2" xfId="104" xr:uid="{00000000-0005-0000-0000-000063000000}"/>
    <cellStyle name="40% - Énfasis3 2 2" xfId="105" xr:uid="{00000000-0005-0000-0000-000064000000}"/>
    <cellStyle name="40% - Énfasis3 2 2 2" xfId="106" xr:uid="{00000000-0005-0000-0000-000065000000}"/>
    <cellStyle name="40% - Énfasis3 2 2 2 2" xfId="1680" xr:uid="{32191F4B-1072-4DE5-94FC-67E9731191D4}"/>
    <cellStyle name="40% - Énfasis3 2 2 2 2 2" xfId="2325" xr:uid="{FE6E4CEF-7F23-4AE3-BB7B-394475CA4A43}"/>
    <cellStyle name="40% - Énfasis3 2 2 2 2 2 2" xfId="3336" xr:uid="{CF1A3CC9-616F-47B4-97FE-3F518A2B4147}"/>
    <cellStyle name="40% - Énfasis3 2 2 2 2 2 2 2" xfId="5760" xr:uid="{CBE675E6-3593-4E63-A6DB-5C7F3F9DDE2C}"/>
    <cellStyle name="40% - Énfasis3 2 2 2 2 2 2 2 2" xfId="10328" xr:uid="{9A8EFCCA-BC15-42DE-9C43-3F9CE41F3912}"/>
    <cellStyle name="40% - Énfasis3 2 2 2 2 2 2 3" xfId="8036" xr:uid="{E3D473A9-D5AB-448B-8CAA-663648D52686}"/>
    <cellStyle name="40% - Énfasis3 2 2 2 2 2 3" xfId="4751" xr:uid="{496538CA-E7CE-48A4-AC63-394C724BE9E6}"/>
    <cellStyle name="40% - Énfasis3 2 2 2 2 2 3 2" xfId="9319" xr:uid="{F7D7B12B-A9F5-45DB-A57B-BADEF22F65EA}"/>
    <cellStyle name="40% - Énfasis3 2 2 2 2 2 4" xfId="7027" xr:uid="{7A6C6108-3A80-4ABC-8D37-137E5E4F3940}"/>
    <cellStyle name="40% - Énfasis3 2 2 2 2 3" xfId="2908" xr:uid="{488998B0-F624-4019-90DF-A62BB971CDAD}"/>
    <cellStyle name="40% - Énfasis3 2 2 2 2 3 2" xfId="5332" xr:uid="{426677F3-12B4-42CF-A98E-865291CDE988}"/>
    <cellStyle name="40% - Énfasis3 2 2 2 2 3 2 2" xfId="9900" xr:uid="{E2CE2BFF-7AD5-476A-8FAE-70DEFAAD8D36}"/>
    <cellStyle name="40% - Énfasis3 2 2 2 2 3 3" xfId="7608" xr:uid="{073EFDE9-30BC-4DFB-ABB6-927F305422F5}"/>
    <cellStyle name="40% - Énfasis3 2 2 2 2 4" xfId="4323" xr:uid="{C96BC9A5-F5C1-4E80-8BA8-A26E2044402D}"/>
    <cellStyle name="40% - Énfasis3 2 2 2 2 4 2" xfId="8891" xr:uid="{4BA1501C-0E83-4328-9358-C3C8EDBDA668}"/>
    <cellStyle name="40% - Énfasis3 2 2 2 2 5" xfId="6599" xr:uid="{52E3546E-28F1-4037-AB65-F7A2831B4528}"/>
    <cellStyle name="40% - Énfasis3 2 2 2 3" xfId="2030" xr:uid="{F45537C0-8495-4D8A-8341-DD12020F9433}"/>
    <cellStyle name="40% - Énfasis3 2 2 2 3 2" xfId="3149" xr:uid="{5220ADF3-163C-4459-92D7-F04613E9272B}"/>
    <cellStyle name="40% - Énfasis3 2 2 2 3 2 2" xfId="5573" xr:uid="{31AEC068-A3D9-4820-B19C-20711D49E966}"/>
    <cellStyle name="40% - Énfasis3 2 2 2 3 2 2 2" xfId="10141" xr:uid="{814BF7EB-F31F-472B-B6F7-C68BE6CE0B44}"/>
    <cellStyle name="40% - Énfasis3 2 2 2 3 2 3" xfId="7849" xr:uid="{8DC1F1F2-5C29-4052-8AED-DA64BE363835}"/>
    <cellStyle name="40% - Énfasis3 2 2 2 3 3" xfId="4564" xr:uid="{50FFECD2-A1B0-451A-A170-44FC979D600F}"/>
    <cellStyle name="40% - Énfasis3 2 2 2 3 3 2" xfId="9132" xr:uid="{44B085F0-F0B4-4150-B91E-4107D122DEC9}"/>
    <cellStyle name="40% - Énfasis3 2 2 2 3 4" xfId="6840" xr:uid="{B5067312-F933-4B1D-9B25-9551B1F644C3}"/>
    <cellStyle name="40% - Énfasis3 2 2 2 4" xfId="2707" xr:uid="{50682CCC-2C7E-4BE4-9E66-FB422B93AAAF}"/>
    <cellStyle name="40% - Énfasis3 2 2 2 4 2" xfId="5133" xr:uid="{DE0F8843-DD97-4F07-B475-CBF97F412E08}"/>
    <cellStyle name="40% - Énfasis3 2 2 2 4 2 2" xfId="9701" xr:uid="{B8542DF3-FCE4-413F-A5E6-1D2D57039569}"/>
    <cellStyle name="40% - Énfasis3 2 2 2 4 3" xfId="7409" xr:uid="{381621ED-CE4B-4B5E-A8AC-32C86457658A}"/>
    <cellStyle name="40% - Énfasis3 2 2 2 5" xfId="4043" xr:uid="{7382ED6C-433F-45ED-B992-2F32820BCE6E}"/>
    <cellStyle name="40% - Énfasis3 2 2 2 5 2" xfId="8612" xr:uid="{8D505304-A492-4900-BD63-0B8E098507B1}"/>
    <cellStyle name="40% - Énfasis3 2 2 2 6" xfId="6409" xr:uid="{66CC5E29-9D11-4143-8283-CDDB97BF06B0}"/>
    <cellStyle name="40% - Énfasis3 2 2 2 7" xfId="1395" xr:uid="{5A1E184A-F913-4D89-90E6-32FC8E5DFAE0}"/>
    <cellStyle name="40% - Énfasis3 2 2 3" xfId="1679" xr:uid="{AEA17F9C-F7B7-4DD6-AF7B-B2D258620049}"/>
    <cellStyle name="40% - Énfasis3 2 2 3 2" xfId="2324" xr:uid="{0775F9E1-BCFA-454D-AAE7-2353658935CE}"/>
    <cellStyle name="40% - Énfasis3 2 2 3 2 2" xfId="3335" xr:uid="{CD1BC22D-F45F-4A67-9801-FBFD48D071E6}"/>
    <cellStyle name="40% - Énfasis3 2 2 3 2 2 2" xfId="5759" xr:uid="{BCF40EE8-A919-4C71-BA53-FF34B3205E63}"/>
    <cellStyle name="40% - Énfasis3 2 2 3 2 2 2 2" xfId="10327" xr:uid="{F6508439-7BFB-40B6-9DAA-8331A5DD535E}"/>
    <cellStyle name="40% - Énfasis3 2 2 3 2 2 3" xfId="8035" xr:uid="{57613A19-7108-439E-AFB1-3EE66AD36AEC}"/>
    <cellStyle name="40% - Énfasis3 2 2 3 2 3" xfId="4750" xr:uid="{85B89309-773A-44C3-B550-9A9344BC667A}"/>
    <cellStyle name="40% - Énfasis3 2 2 3 2 3 2" xfId="9318" xr:uid="{C10D96EC-E935-405C-B975-C70B871D2D8C}"/>
    <cellStyle name="40% - Énfasis3 2 2 3 2 4" xfId="7026" xr:uid="{88810CF0-3BC9-4661-84F3-31BFDF1B141E}"/>
    <cellStyle name="40% - Énfasis3 2 2 3 3" xfId="2907" xr:uid="{50DE49E0-6766-4547-9DE3-BD0D943B6B93}"/>
    <cellStyle name="40% - Énfasis3 2 2 3 3 2" xfId="5331" xr:uid="{84AA7AA1-52A3-4BBE-837C-DD3ABFB20B98}"/>
    <cellStyle name="40% - Énfasis3 2 2 3 3 2 2" xfId="9899" xr:uid="{46451520-4B76-4E10-A70D-2BFDC3C35D0F}"/>
    <cellStyle name="40% - Énfasis3 2 2 3 3 3" xfId="7607" xr:uid="{387EC48C-40DA-473B-A135-3504E32E4514}"/>
    <cellStyle name="40% - Énfasis3 2 2 3 4" xfId="4322" xr:uid="{DB4C944F-3D8A-4666-A56D-B45D6F46F278}"/>
    <cellStyle name="40% - Énfasis3 2 2 3 4 2" xfId="8890" xr:uid="{57167AA5-197A-4415-BBB1-8AFAE7BD4B64}"/>
    <cellStyle name="40% - Énfasis3 2 2 3 5" xfId="6598" xr:uid="{C58CDD76-F349-4C8A-8632-98F4DBC13EB0}"/>
    <cellStyle name="40% - Énfasis3 2 2 4" xfId="2029" xr:uid="{F86C83DD-B2A1-4376-8F2B-E7DA6C8B3BE3}"/>
    <cellStyle name="40% - Énfasis3 2 2 4 2" xfId="3148" xr:uid="{B3E4630D-DAF8-48BA-8124-BE1EF07934EB}"/>
    <cellStyle name="40% - Énfasis3 2 2 4 2 2" xfId="5572" xr:uid="{A2CAA753-D603-4D9D-96F6-173912FC13DF}"/>
    <cellStyle name="40% - Énfasis3 2 2 4 2 2 2" xfId="10140" xr:uid="{A29880F9-EC45-4700-8271-0F041FA5184C}"/>
    <cellStyle name="40% - Énfasis3 2 2 4 2 3" xfId="7848" xr:uid="{B6C3BDC2-70AC-4D5B-AB21-95AACC84A9CE}"/>
    <cellStyle name="40% - Énfasis3 2 2 4 3" xfId="4563" xr:uid="{219F55CF-3F32-46FA-BEEA-2D816C99D9C2}"/>
    <cellStyle name="40% - Énfasis3 2 2 4 3 2" xfId="9131" xr:uid="{AF0C6762-731F-4772-83CF-58110CFF193E}"/>
    <cellStyle name="40% - Énfasis3 2 2 4 4" xfId="6839" xr:uid="{A9A9906E-2395-47D2-BBCD-071685277B46}"/>
    <cellStyle name="40% - Énfasis3 2 2 5" xfId="2706" xr:uid="{939A41B9-A803-41D1-B1BB-1BEDF2B62F6C}"/>
    <cellStyle name="40% - Énfasis3 2 2 5 2" xfId="5132" xr:uid="{61747598-BBC9-4390-A8FA-90E777383F9B}"/>
    <cellStyle name="40% - Énfasis3 2 2 5 2 2" xfId="9700" xr:uid="{25F42F81-51D2-44A5-9CFB-181CC080A091}"/>
    <cellStyle name="40% - Énfasis3 2 2 5 3" xfId="7408" xr:uid="{33033CB5-4603-487E-B732-FBFEF9D18238}"/>
    <cellStyle name="40% - Énfasis3 2 2 6" xfId="4042" xr:uid="{28CA6402-93E9-4236-9F8D-ADDD5600B638}"/>
    <cellStyle name="40% - Énfasis3 2 2 6 2" xfId="8611" xr:uid="{3A2C8910-A83E-49E0-9511-ECF54A5EA7FE}"/>
    <cellStyle name="40% - Énfasis3 2 2 7" xfId="6408" xr:uid="{FC8753AF-1F3C-479C-BBE5-43BE5AD2542B}"/>
    <cellStyle name="40% - Énfasis3 2 2 8" xfId="1394" xr:uid="{F9A8ED24-3DB7-4A9C-9D4F-D24B89D0B866}"/>
    <cellStyle name="40% - Énfasis3 2 3" xfId="107" xr:uid="{00000000-0005-0000-0000-000066000000}"/>
    <cellStyle name="40% - Énfasis3 2 3 2" xfId="1681" xr:uid="{2FEAECB4-47CA-4CF5-9E3B-43E33E831AA9}"/>
    <cellStyle name="40% - Énfasis3 2 3 2 2" xfId="2326" xr:uid="{927979EB-1CF6-45D7-A678-EFF2027EC0E5}"/>
    <cellStyle name="40% - Énfasis3 2 3 2 2 2" xfId="3337" xr:uid="{1B9ED7E8-30CD-4200-8BD3-4F3FEA0F5154}"/>
    <cellStyle name="40% - Énfasis3 2 3 2 2 2 2" xfId="5761" xr:uid="{FD55E990-BA85-41A4-8B1A-C58230D9B637}"/>
    <cellStyle name="40% - Énfasis3 2 3 2 2 2 2 2" xfId="10329" xr:uid="{7330B569-71E5-4162-913D-0B6F43563DF0}"/>
    <cellStyle name="40% - Énfasis3 2 3 2 2 2 3" xfId="8037" xr:uid="{05522C9D-4E70-4006-A3BC-B9CF543A82B5}"/>
    <cellStyle name="40% - Énfasis3 2 3 2 2 3" xfId="4752" xr:uid="{8000AFA9-D8CF-4022-8D08-3E84213D05D7}"/>
    <cellStyle name="40% - Énfasis3 2 3 2 2 3 2" xfId="9320" xr:uid="{A9C32146-E4D9-4E9E-91E1-FBEB0734443E}"/>
    <cellStyle name="40% - Énfasis3 2 3 2 2 4" xfId="7028" xr:uid="{43F5C766-2313-4DF4-AEDB-643A408E02A3}"/>
    <cellStyle name="40% - Énfasis3 2 3 2 3" xfId="2909" xr:uid="{7B63D2E7-26A7-4C88-A257-EDAA07F0C4DB}"/>
    <cellStyle name="40% - Énfasis3 2 3 2 3 2" xfId="5333" xr:uid="{205E9246-E4F0-47F8-8F10-4AD3F0AE85B7}"/>
    <cellStyle name="40% - Énfasis3 2 3 2 3 2 2" xfId="9901" xr:uid="{82230B23-DC6C-4658-AC63-9F027A98BE21}"/>
    <cellStyle name="40% - Énfasis3 2 3 2 3 3" xfId="7609" xr:uid="{D9AAA8D2-0B43-49E0-B3FD-18AC816EB1DB}"/>
    <cellStyle name="40% - Énfasis3 2 3 2 4" xfId="4324" xr:uid="{E4BF641F-C00D-49F1-AA47-A3EA8F1A182B}"/>
    <cellStyle name="40% - Énfasis3 2 3 2 4 2" xfId="8892" xr:uid="{54F70826-432F-444B-90F1-FAFF955DA974}"/>
    <cellStyle name="40% - Énfasis3 2 3 2 5" xfId="6600" xr:uid="{6BDA3556-D41D-4C2C-A643-C5833BA7970A}"/>
    <cellStyle name="40% - Énfasis3 2 3 3" xfId="2031" xr:uid="{CCED1D95-2989-45AE-9BA5-3F8DDC25490D}"/>
    <cellStyle name="40% - Énfasis3 2 3 3 2" xfId="3150" xr:uid="{C641BACE-4E78-4108-B765-5012880D5FCB}"/>
    <cellStyle name="40% - Énfasis3 2 3 3 2 2" xfId="5574" xr:uid="{994E705D-C69F-4466-83B9-B75C4F02FCD8}"/>
    <cellStyle name="40% - Énfasis3 2 3 3 2 2 2" xfId="10142" xr:uid="{AA498B8E-904F-4C6A-9B8F-D9C6082CB657}"/>
    <cellStyle name="40% - Énfasis3 2 3 3 2 3" xfId="7850" xr:uid="{1EB3AB2D-EB0B-49CE-B812-83EF25F1B426}"/>
    <cellStyle name="40% - Énfasis3 2 3 3 3" xfId="4565" xr:uid="{2D8DC12A-D58D-415A-B146-4F313DC2A70F}"/>
    <cellStyle name="40% - Énfasis3 2 3 3 3 2" xfId="9133" xr:uid="{0753EE7C-303B-4E09-BBAD-84A88FD5FF2E}"/>
    <cellStyle name="40% - Énfasis3 2 3 3 4" xfId="6841" xr:uid="{5B65D3E5-54C7-438F-9EF0-BED0129F5E7B}"/>
    <cellStyle name="40% - Énfasis3 2 3 4" xfId="2708" xr:uid="{44E1A2FF-F4ED-440B-A20C-5CB6BEDD4172}"/>
    <cellStyle name="40% - Énfasis3 2 3 4 2" xfId="5134" xr:uid="{66B4946D-ECC9-4694-B126-A0AF7FE2CF15}"/>
    <cellStyle name="40% - Énfasis3 2 3 4 2 2" xfId="9702" xr:uid="{9BE8E690-BA41-4E69-95CB-7EB59AD1AAF4}"/>
    <cellStyle name="40% - Énfasis3 2 3 4 3" xfId="7410" xr:uid="{928813D2-F9ED-48A1-A8F1-9578A665FA15}"/>
    <cellStyle name="40% - Énfasis3 2 3 5" xfId="4044" xr:uid="{0FE90CDD-452C-46E1-B444-8E4B11F3C7F2}"/>
    <cellStyle name="40% - Énfasis3 2 3 5 2" xfId="8613" xr:uid="{42BCBE78-5E72-4B3A-B83B-A60C3BCBD7D1}"/>
    <cellStyle name="40% - Énfasis3 2 3 6" xfId="6410" xr:uid="{59F224DA-D13B-488D-A5CE-43C9CA7B1930}"/>
    <cellStyle name="40% - Énfasis3 2 3 7" xfId="1396" xr:uid="{E4CF9245-8CAC-43D4-BAA5-6EE8B7D28079}"/>
    <cellStyle name="40% - Énfasis3 2 4" xfId="1678" xr:uid="{0CA89DE0-1680-45DF-A220-DAC67DE1B2D1}"/>
    <cellStyle name="40% - Énfasis3 2 4 2" xfId="2323" xr:uid="{D08F042A-7896-4ADC-97E7-DD965DA67FFB}"/>
    <cellStyle name="40% - Énfasis3 2 4 2 2" xfId="3334" xr:uid="{FEAE1B25-C636-4CA8-878D-C9DCBD746958}"/>
    <cellStyle name="40% - Énfasis3 2 4 2 2 2" xfId="5758" xr:uid="{074DDC63-8E3E-4CB1-B459-B1611F955759}"/>
    <cellStyle name="40% - Énfasis3 2 4 2 2 2 2" xfId="10326" xr:uid="{C9EAB203-1580-4245-88D5-524E10F764F5}"/>
    <cellStyle name="40% - Énfasis3 2 4 2 2 3" xfId="8034" xr:uid="{1D9B1575-8C7F-4DFC-A94F-F417080CD975}"/>
    <cellStyle name="40% - Énfasis3 2 4 2 3" xfId="4749" xr:uid="{750FA654-2608-48CA-8803-0C9F44083560}"/>
    <cellStyle name="40% - Énfasis3 2 4 2 3 2" xfId="9317" xr:uid="{4C51E4D0-94EC-4D86-8CC7-D57C22C3803C}"/>
    <cellStyle name="40% - Énfasis3 2 4 2 4" xfId="7025" xr:uid="{627E7725-E6C5-45DB-B4B3-F20B2A34FF95}"/>
    <cellStyle name="40% - Énfasis3 2 4 3" xfId="2906" xr:uid="{08A9AC35-6B8D-49D0-AB6E-F8FCFC0C9D38}"/>
    <cellStyle name="40% - Énfasis3 2 4 3 2" xfId="5330" xr:uid="{A1ABE16C-EAFF-4665-AAA7-331CF5D9A84E}"/>
    <cellStyle name="40% - Énfasis3 2 4 3 2 2" xfId="9898" xr:uid="{38D241DD-ADD8-40AA-B99A-477AF78D55B2}"/>
    <cellStyle name="40% - Énfasis3 2 4 3 3" xfId="7606" xr:uid="{A6500D6B-A10B-4F6A-8E5B-A3096594E210}"/>
    <cellStyle name="40% - Énfasis3 2 4 4" xfId="4321" xr:uid="{00A53D7D-740E-4CB9-A1E6-1D28794F4A69}"/>
    <cellStyle name="40% - Énfasis3 2 4 4 2" xfId="8889" xr:uid="{AE7C7904-BCCF-488E-9720-F21CD6C25CA9}"/>
    <cellStyle name="40% - Énfasis3 2 4 5" xfId="6597" xr:uid="{C224014B-81B5-48A1-8C95-4A1A4085737F}"/>
    <cellStyle name="40% - Énfasis3 2 5" xfId="2028" xr:uid="{A8B7FB0F-8C8F-4F84-9318-C3094426AB33}"/>
    <cellStyle name="40% - Énfasis3 2 5 2" xfId="3147" xr:uid="{7F501676-84B8-462E-BF80-194E43D12D03}"/>
    <cellStyle name="40% - Énfasis3 2 5 2 2" xfId="5571" xr:uid="{601582B0-30E1-4F5A-BB32-D72CD59708F6}"/>
    <cellStyle name="40% - Énfasis3 2 5 2 2 2" xfId="10139" xr:uid="{FF120578-C319-418B-88F8-42824C60CD1A}"/>
    <cellStyle name="40% - Énfasis3 2 5 2 3" xfId="7847" xr:uid="{6A04D37E-71A3-4FCF-83AF-15F57A225E24}"/>
    <cellStyle name="40% - Énfasis3 2 5 3" xfId="4562" xr:uid="{BEEAEEDD-1281-4AFB-B39A-4B11214D18EB}"/>
    <cellStyle name="40% - Énfasis3 2 5 3 2" xfId="9130" xr:uid="{72CE9E9B-FAEF-4CCE-A4DA-F455E940B5EB}"/>
    <cellStyle name="40% - Énfasis3 2 5 4" xfId="6838" xr:uid="{C44477D8-44F4-4261-800B-E688DD25B39C}"/>
    <cellStyle name="40% - Énfasis3 2 6" xfId="2705" xr:uid="{4E453940-97D0-4311-B64E-9A15EA92A450}"/>
    <cellStyle name="40% - Énfasis3 2 6 2" xfId="5131" xr:uid="{D70C089E-7CD6-4C0F-860B-D316CED8FA81}"/>
    <cellStyle name="40% - Énfasis3 2 6 2 2" xfId="9699" xr:uid="{C629650C-84A9-4C53-9E7B-6CCE4623C299}"/>
    <cellStyle name="40% - Énfasis3 2 6 3" xfId="7407" xr:uid="{FAC9D807-6232-42C9-9863-E5F4BC68B4E8}"/>
    <cellStyle name="40% - Énfasis3 2 7" xfId="4041" xr:uid="{E0518674-EDDA-4FB3-8B5E-10A71AA831D2}"/>
    <cellStyle name="40% - Énfasis3 2 7 2" xfId="8610" xr:uid="{447D2F33-EB52-414C-B1C3-652C1B5B2CF4}"/>
    <cellStyle name="40% - Énfasis3 2 8" xfId="6407" xr:uid="{70275AD8-696C-4E7E-8746-A80CBB0B30F8}"/>
    <cellStyle name="40% - Énfasis3 2 9" xfId="1393" xr:uid="{AD03FDA6-FB6B-4A11-BD37-BEF45C8A5591}"/>
    <cellStyle name="40% - Énfasis3 3" xfId="108" xr:uid="{00000000-0005-0000-0000-000067000000}"/>
    <cellStyle name="40% - Énfasis3 4" xfId="109" xr:uid="{00000000-0005-0000-0000-000068000000}"/>
    <cellStyle name="40% - Énfasis4 2" xfId="110" xr:uid="{00000000-0005-0000-0000-000069000000}"/>
    <cellStyle name="40% - Énfasis4 2 2" xfId="111" xr:uid="{00000000-0005-0000-0000-00006A000000}"/>
    <cellStyle name="40% - Énfasis4 2 2 2" xfId="112" xr:uid="{00000000-0005-0000-0000-00006B000000}"/>
    <cellStyle name="40% - Énfasis4 2 2 2 2" xfId="1684" xr:uid="{51F2C6AA-38AC-4443-8651-55F84BC161DB}"/>
    <cellStyle name="40% - Énfasis4 2 2 2 2 2" xfId="2329" xr:uid="{F1246F5E-7150-4B13-B93E-DF4431AE6217}"/>
    <cellStyle name="40% - Énfasis4 2 2 2 2 2 2" xfId="3340" xr:uid="{191BFB09-EA9C-4D98-8332-64DB3A565D5B}"/>
    <cellStyle name="40% - Énfasis4 2 2 2 2 2 2 2" xfId="5764" xr:uid="{2681EDD1-15F6-4F44-9E21-20C7EBE0B33A}"/>
    <cellStyle name="40% - Énfasis4 2 2 2 2 2 2 2 2" xfId="10332" xr:uid="{F58711A8-A567-49F9-9EAE-E678951E69F5}"/>
    <cellStyle name="40% - Énfasis4 2 2 2 2 2 2 3" xfId="8040" xr:uid="{3EDF4EF2-5A65-4664-8184-C897D31472E5}"/>
    <cellStyle name="40% - Énfasis4 2 2 2 2 2 3" xfId="4755" xr:uid="{B771E913-D90C-46C0-B172-4D51FD7E676A}"/>
    <cellStyle name="40% - Énfasis4 2 2 2 2 2 3 2" xfId="9323" xr:uid="{60CEEDFF-BD46-4B3E-904A-A6047772C82C}"/>
    <cellStyle name="40% - Énfasis4 2 2 2 2 2 4" xfId="7031" xr:uid="{49BF90FD-DAD0-410E-BC13-A7954846804B}"/>
    <cellStyle name="40% - Énfasis4 2 2 2 2 3" xfId="2912" xr:uid="{06C36945-38C0-46C5-B75C-74FC052D1946}"/>
    <cellStyle name="40% - Énfasis4 2 2 2 2 3 2" xfId="5336" xr:uid="{B05D9375-6A36-4A0D-987F-BD8E255426E8}"/>
    <cellStyle name="40% - Énfasis4 2 2 2 2 3 2 2" xfId="9904" xr:uid="{13BF76B4-0F10-4216-9D84-CB26BB49462A}"/>
    <cellStyle name="40% - Énfasis4 2 2 2 2 3 3" xfId="7612" xr:uid="{0D31AF39-E906-44F8-AB05-18DE5BF56FAF}"/>
    <cellStyle name="40% - Énfasis4 2 2 2 2 4" xfId="4327" xr:uid="{AEED5CFF-6F4B-48AD-8ABA-505244DF6212}"/>
    <cellStyle name="40% - Énfasis4 2 2 2 2 4 2" xfId="8895" xr:uid="{DEA0D314-A0D1-435F-B802-97C954A6D0EC}"/>
    <cellStyle name="40% - Énfasis4 2 2 2 2 5" xfId="6603" xr:uid="{AF570AFD-0466-482F-B555-DC55094C79C2}"/>
    <cellStyle name="40% - Énfasis4 2 2 2 3" xfId="2034" xr:uid="{0D0EAD0B-10B1-4DCF-BA57-A48A330F1632}"/>
    <cellStyle name="40% - Énfasis4 2 2 2 3 2" xfId="3153" xr:uid="{B34CAC23-13BE-435A-95B9-ED3B830A482A}"/>
    <cellStyle name="40% - Énfasis4 2 2 2 3 2 2" xfId="5577" xr:uid="{2DD0ECDA-F586-4D51-ACDC-19DA239DE256}"/>
    <cellStyle name="40% - Énfasis4 2 2 2 3 2 2 2" xfId="10145" xr:uid="{BCF36ECE-8420-47CD-8EF1-A27E8A79CD04}"/>
    <cellStyle name="40% - Énfasis4 2 2 2 3 2 3" xfId="7853" xr:uid="{05C98798-C40D-45B3-8CF7-4E8764C9B48A}"/>
    <cellStyle name="40% - Énfasis4 2 2 2 3 3" xfId="4568" xr:uid="{BCFDD3CB-C8AE-4913-A157-784DA0E95271}"/>
    <cellStyle name="40% - Énfasis4 2 2 2 3 3 2" xfId="9136" xr:uid="{CCC90999-841F-4C99-8490-83257741FD07}"/>
    <cellStyle name="40% - Énfasis4 2 2 2 3 4" xfId="6844" xr:uid="{37142CBB-30AA-4025-82A7-43AA6695D43B}"/>
    <cellStyle name="40% - Énfasis4 2 2 2 4" xfId="2711" xr:uid="{4D697409-F6F5-4256-9E85-28D178FAA2C2}"/>
    <cellStyle name="40% - Énfasis4 2 2 2 4 2" xfId="5137" xr:uid="{16EFF333-6004-4F20-97DB-284256CC7441}"/>
    <cellStyle name="40% - Énfasis4 2 2 2 4 2 2" xfId="9705" xr:uid="{B00F0B53-9D9F-4273-87B5-01A0C9A56B67}"/>
    <cellStyle name="40% - Énfasis4 2 2 2 4 3" xfId="7413" xr:uid="{FFD533F9-A570-41A0-BB8B-72ED33A0E1B0}"/>
    <cellStyle name="40% - Énfasis4 2 2 2 5" xfId="4047" xr:uid="{AEFB6F26-CB18-4391-8AAA-406822BA273F}"/>
    <cellStyle name="40% - Énfasis4 2 2 2 5 2" xfId="8616" xr:uid="{2EEA5896-8836-45CC-AE4E-38DD28135DAE}"/>
    <cellStyle name="40% - Énfasis4 2 2 2 6" xfId="6413" xr:uid="{E25894BD-0B6A-40F1-8CAE-20D8B0848114}"/>
    <cellStyle name="40% - Énfasis4 2 2 2 7" xfId="1399" xr:uid="{638FF2C1-DDAF-485A-A245-CA9BE401D850}"/>
    <cellStyle name="40% - Énfasis4 2 2 3" xfId="1683" xr:uid="{3EEA8011-9E57-43A2-94DC-1D741ACA3873}"/>
    <cellStyle name="40% - Énfasis4 2 2 3 2" xfId="2328" xr:uid="{83795D45-EC58-4D79-ACFF-DEF6193F8085}"/>
    <cellStyle name="40% - Énfasis4 2 2 3 2 2" xfId="3339" xr:uid="{E942FEB1-6C6D-4AF9-BC54-7DB21661B8BD}"/>
    <cellStyle name="40% - Énfasis4 2 2 3 2 2 2" xfId="5763" xr:uid="{F95D8576-8D0F-4490-AFED-6C6EF2BEC22C}"/>
    <cellStyle name="40% - Énfasis4 2 2 3 2 2 2 2" xfId="10331" xr:uid="{E7F02CBA-CED2-4289-9BFF-8341B998091A}"/>
    <cellStyle name="40% - Énfasis4 2 2 3 2 2 3" xfId="8039" xr:uid="{E08F3494-A429-4C83-8C30-3175A9F2AF8B}"/>
    <cellStyle name="40% - Énfasis4 2 2 3 2 3" xfId="4754" xr:uid="{E3CDEC31-34E5-4901-A7A7-FDDBB844F6CA}"/>
    <cellStyle name="40% - Énfasis4 2 2 3 2 3 2" xfId="9322" xr:uid="{B7417542-00EF-4392-9E20-0FAED2B9EC58}"/>
    <cellStyle name="40% - Énfasis4 2 2 3 2 4" xfId="7030" xr:uid="{56BD6F84-9AF4-416B-B3F1-88DDFDA7E74A}"/>
    <cellStyle name="40% - Énfasis4 2 2 3 3" xfId="2911" xr:uid="{257920BF-E685-4CB7-91AB-CFCB3655CE6A}"/>
    <cellStyle name="40% - Énfasis4 2 2 3 3 2" xfId="5335" xr:uid="{FE423501-9005-4DA1-BC80-CFAB5E9657A7}"/>
    <cellStyle name="40% - Énfasis4 2 2 3 3 2 2" xfId="9903" xr:uid="{CE25D87B-8848-4EE3-9445-CF75BAF8D93B}"/>
    <cellStyle name="40% - Énfasis4 2 2 3 3 3" xfId="7611" xr:uid="{A5603D94-B281-4546-997B-F8098A378712}"/>
    <cellStyle name="40% - Énfasis4 2 2 3 4" xfId="4326" xr:uid="{57A7068E-5E88-49D8-A4BD-77C9C7E3E571}"/>
    <cellStyle name="40% - Énfasis4 2 2 3 4 2" xfId="8894" xr:uid="{32549287-E491-4C3A-B8AF-FDC7248DDC11}"/>
    <cellStyle name="40% - Énfasis4 2 2 3 5" xfId="6602" xr:uid="{97706527-6FD9-4DAB-A1DC-C296206EF56A}"/>
    <cellStyle name="40% - Énfasis4 2 2 4" xfId="2033" xr:uid="{6CE51977-A8EA-4D18-A49F-B17191E0D65D}"/>
    <cellStyle name="40% - Énfasis4 2 2 4 2" xfId="3152" xr:uid="{FA16AB3F-FDD8-4D56-8DF4-0760AE105C4A}"/>
    <cellStyle name="40% - Énfasis4 2 2 4 2 2" xfId="5576" xr:uid="{EF8BD9A3-DA27-4461-8541-AFDA7031FD10}"/>
    <cellStyle name="40% - Énfasis4 2 2 4 2 2 2" xfId="10144" xr:uid="{A643054B-4FB8-4D1B-BD44-DF46D18A289A}"/>
    <cellStyle name="40% - Énfasis4 2 2 4 2 3" xfId="7852" xr:uid="{0804321D-CAA8-4F9C-968C-3C0CB60AB569}"/>
    <cellStyle name="40% - Énfasis4 2 2 4 3" xfId="4567" xr:uid="{6A811B05-0C86-42EF-8012-BF6444C736EC}"/>
    <cellStyle name="40% - Énfasis4 2 2 4 3 2" xfId="9135" xr:uid="{552942ED-45CD-40BC-9B3E-0837D8B7D1C2}"/>
    <cellStyle name="40% - Énfasis4 2 2 4 4" xfId="6843" xr:uid="{FD2D9C13-9687-4DAE-9CD4-D0313C0F0E07}"/>
    <cellStyle name="40% - Énfasis4 2 2 5" xfId="2710" xr:uid="{37531E29-03EE-462F-A519-1B260F344B54}"/>
    <cellStyle name="40% - Énfasis4 2 2 5 2" xfId="5136" xr:uid="{6C8B3B01-E32A-4D12-B2B4-C06EAEB28C5F}"/>
    <cellStyle name="40% - Énfasis4 2 2 5 2 2" xfId="9704" xr:uid="{72EC5516-6ED5-4395-99C0-AD8563BDECAB}"/>
    <cellStyle name="40% - Énfasis4 2 2 5 3" xfId="7412" xr:uid="{8E74026C-BB67-4368-B255-8957C47B6A7E}"/>
    <cellStyle name="40% - Énfasis4 2 2 6" xfId="4046" xr:uid="{1738AC3B-9D16-4BBA-9339-54F43FD88705}"/>
    <cellStyle name="40% - Énfasis4 2 2 6 2" xfId="8615" xr:uid="{D06C4AE9-C420-4A6A-BFFE-B5445DEC2364}"/>
    <cellStyle name="40% - Énfasis4 2 2 7" xfId="6412" xr:uid="{399363DF-7669-4B4E-AE8A-F2D7C77C493F}"/>
    <cellStyle name="40% - Énfasis4 2 2 8" xfId="1398" xr:uid="{6E2F10F9-D3F4-4DD3-97F5-6AC806404718}"/>
    <cellStyle name="40% - Énfasis4 2 3" xfId="113" xr:uid="{00000000-0005-0000-0000-00006C000000}"/>
    <cellStyle name="40% - Énfasis4 2 3 2" xfId="1685" xr:uid="{4F0C2A05-D3C2-4FC0-A79D-8267ACD64463}"/>
    <cellStyle name="40% - Énfasis4 2 3 2 2" xfId="2330" xr:uid="{E05654D9-5CF1-4972-BEC2-17EC6BD48CA1}"/>
    <cellStyle name="40% - Énfasis4 2 3 2 2 2" xfId="3341" xr:uid="{4016C63B-4ACB-4931-957F-4A5E0F1D6195}"/>
    <cellStyle name="40% - Énfasis4 2 3 2 2 2 2" xfId="5765" xr:uid="{47769F96-8E48-465B-9AF1-08A90FEAB854}"/>
    <cellStyle name="40% - Énfasis4 2 3 2 2 2 2 2" xfId="10333" xr:uid="{604CA6AC-A31C-401C-BD19-3BCA41BFCEF0}"/>
    <cellStyle name="40% - Énfasis4 2 3 2 2 2 3" xfId="8041" xr:uid="{56BF4B3D-A32F-4BC6-8090-65CD77E44C75}"/>
    <cellStyle name="40% - Énfasis4 2 3 2 2 3" xfId="4756" xr:uid="{C1088917-AFD3-4F0C-9204-A352AA4BBBE6}"/>
    <cellStyle name="40% - Énfasis4 2 3 2 2 3 2" xfId="9324" xr:uid="{3FFC0D5A-BE27-47E1-A681-98991A423981}"/>
    <cellStyle name="40% - Énfasis4 2 3 2 2 4" xfId="7032" xr:uid="{EC7630B1-D987-4471-8AC3-1971A66D0309}"/>
    <cellStyle name="40% - Énfasis4 2 3 2 3" xfId="2913" xr:uid="{BCB526AD-65AE-4E6E-8346-43386562B868}"/>
    <cellStyle name="40% - Énfasis4 2 3 2 3 2" xfId="5337" xr:uid="{0331FFD3-09B4-4EAC-97D9-E3BC0B5BEE19}"/>
    <cellStyle name="40% - Énfasis4 2 3 2 3 2 2" xfId="9905" xr:uid="{6734FB95-1C44-4C63-B07A-EAE4FD03AC63}"/>
    <cellStyle name="40% - Énfasis4 2 3 2 3 3" xfId="7613" xr:uid="{44159A81-2C66-49F7-A2B0-60D2F4E366D8}"/>
    <cellStyle name="40% - Énfasis4 2 3 2 4" xfId="4328" xr:uid="{012F85B2-5151-43C3-8254-A8C302908CDC}"/>
    <cellStyle name="40% - Énfasis4 2 3 2 4 2" xfId="8896" xr:uid="{276045FF-03F4-47C2-9EB9-CBB6F504430A}"/>
    <cellStyle name="40% - Énfasis4 2 3 2 5" xfId="6604" xr:uid="{99943527-8C3A-4868-B61A-26DA724BA4BC}"/>
    <cellStyle name="40% - Énfasis4 2 3 3" xfId="2035" xr:uid="{02A10839-60E0-403A-BEC4-A177C13C2ABB}"/>
    <cellStyle name="40% - Énfasis4 2 3 3 2" xfId="3154" xr:uid="{AF718427-4600-4847-B99C-B150DBD750B6}"/>
    <cellStyle name="40% - Énfasis4 2 3 3 2 2" xfId="5578" xr:uid="{B55BC2DB-6488-497D-8A76-26365327398B}"/>
    <cellStyle name="40% - Énfasis4 2 3 3 2 2 2" xfId="10146" xr:uid="{CA35B9D8-3574-4D0E-84CE-A2DCF656E8F1}"/>
    <cellStyle name="40% - Énfasis4 2 3 3 2 3" xfId="7854" xr:uid="{96CE11F9-E1F7-421E-8154-4E7E78D37281}"/>
    <cellStyle name="40% - Énfasis4 2 3 3 3" xfId="4569" xr:uid="{B15B671F-B3AE-4DF8-92C0-D75CDDBFAD6F}"/>
    <cellStyle name="40% - Énfasis4 2 3 3 3 2" xfId="9137" xr:uid="{6FD3C08B-FB4C-486B-8DD9-9BCBB17A5645}"/>
    <cellStyle name="40% - Énfasis4 2 3 3 4" xfId="6845" xr:uid="{D6A317A6-AE24-4C83-A25B-2DAC18B36D64}"/>
    <cellStyle name="40% - Énfasis4 2 3 4" xfId="2712" xr:uid="{3E9A2F7E-0B7D-4141-89BD-5B454924FD34}"/>
    <cellStyle name="40% - Énfasis4 2 3 4 2" xfId="5138" xr:uid="{CD7F8B06-E1E0-420A-8B5F-68F402522204}"/>
    <cellStyle name="40% - Énfasis4 2 3 4 2 2" xfId="9706" xr:uid="{FECC90EC-F400-4B5F-8AE2-D55C9E204639}"/>
    <cellStyle name="40% - Énfasis4 2 3 4 3" xfId="7414" xr:uid="{98E592AF-604E-4EE1-A99E-B15175776AF0}"/>
    <cellStyle name="40% - Énfasis4 2 3 5" xfId="4048" xr:uid="{79BE822E-33ED-46D2-A71A-0A458139DCB6}"/>
    <cellStyle name="40% - Énfasis4 2 3 5 2" xfId="8617" xr:uid="{A2AD0A5F-162D-468F-9CEB-F040D78C0CEB}"/>
    <cellStyle name="40% - Énfasis4 2 3 6" xfId="6414" xr:uid="{EB67049B-1CD2-4F8C-BC36-B9DE99B82810}"/>
    <cellStyle name="40% - Énfasis4 2 3 7" xfId="1400" xr:uid="{AEDE7087-A1E0-4236-8D87-8A49DD499E07}"/>
    <cellStyle name="40% - Énfasis4 2 4" xfId="1682" xr:uid="{24227A6C-2C13-4679-970F-A8D02A31AF3E}"/>
    <cellStyle name="40% - Énfasis4 2 4 2" xfId="2327" xr:uid="{078A4C03-E44D-46BE-AF75-CC1AC08F0A9E}"/>
    <cellStyle name="40% - Énfasis4 2 4 2 2" xfId="3338" xr:uid="{0698E510-CA57-4451-86D9-F48066AB8E5D}"/>
    <cellStyle name="40% - Énfasis4 2 4 2 2 2" xfId="5762" xr:uid="{A11D9064-5055-4F8A-8E39-43519ED2F2FB}"/>
    <cellStyle name="40% - Énfasis4 2 4 2 2 2 2" xfId="10330" xr:uid="{276B80C7-A04A-47A8-864B-8DA458F35AEF}"/>
    <cellStyle name="40% - Énfasis4 2 4 2 2 3" xfId="8038" xr:uid="{7362FC50-B53D-4FD6-9EA0-272D3B93E0F3}"/>
    <cellStyle name="40% - Énfasis4 2 4 2 3" xfId="4753" xr:uid="{81510661-8A82-4D49-9E1C-B51896E41347}"/>
    <cellStyle name="40% - Énfasis4 2 4 2 3 2" xfId="9321" xr:uid="{15B93F16-244A-4833-A136-16260148F716}"/>
    <cellStyle name="40% - Énfasis4 2 4 2 4" xfId="7029" xr:uid="{ED4E723E-7C61-4B76-892E-A7A6F006C8B7}"/>
    <cellStyle name="40% - Énfasis4 2 4 3" xfId="2910" xr:uid="{CDA63C65-463F-443F-AE8B-3E9DA67939F9}"/>
    <cellStyle name="40% - Énfasis4 2 4 3 2" xfId="5334" xr:uid="{972FC155-2F80-4651-9915-5AE7C3A09C28}"/>
    <cellStyle name="40% - Énfasis4 2 4 3 2 2" xfId="9902" xr:uid="{05F7CF83-C259-4946-90B5-A8827C1DC2F4}"/>
    <cellStyle name="40% - Énfasis4 2 4 3 3" xfId="7610" xr:uid="{842AD19D-319B-4CA8-8998-36BDE735CF25}"/>
    <cellStyle name="40% - Énfasis4 2 4 4" xfId="4325" xr:uid="{9476CD2F-3A2E-400B-8768-E6026CCCCC41}"/>
    <cellStyle name="40% - Énfasis4 2 4 4 2" xfId="8893" xr:uid="{20AF6F22-DFB7-4045-A737-93B4C6F252D1}"/>
    <cellStyle name="40% - Énfasis4 2 4 5" xfId="6601" xr:uid="{167085EE-B458-4D5C-BBDA-B4C604832AA4}"/>
    <cellStyle name="40% - Énfasis4 2 5" xfId="2032" xr:uid="{DD222370-6D2B-42C8-8AD2-963BA7AABF38}"/>
    <cellStyle name="40% - Énfasis4 2 5 2" xfId="3151" xr:uid="{E62D823A-9408-42E2-8D81-6880C79C892F}"/>
    <cellStyle name="40% - Énfasis4 2 5 2 2" xfId="5575" xr:uid="{9D14048F-6F81-49AD-872E-4D5E61856907}"/>
    <cellStyle name="40% - Énfasis4 2 5 2 2 2" xfId="10143" xr:uid="{F86164D9-B859-4E48-9141-354A23832CA2}"/>
    <cellStyle name="40% - Énfasis4 2 5 2 3" xfId="7851" xr:uid="{1AB42C6C-0091-461B-9C6F-A4F475F8B759}"/>
    <cellStyle name="40% - Énfasis4 2 5 3" xfId="4566" xr:uid="{A2B9BE50-C479-4A62-AB17-769B08781D1C}"/>
    <cellStyle name="40% - Énfasis4 2 5 3 2" xfId="9134" xr:uid="{0CA85966-4307-43F7-9BE8-5AA1EFE3058D}"/>
    <cellStyle name="40% - Énfasis4 2 5 4" xfId="6842" xr:uid="{1FC9EC23-F24C-467F-808D-A7BFBEDA91BC}"/>
    <cellStyle name="40% - Énfasis4 2 6" xfId="2709" xr:uid="{2E3F1733-EC5F-4633-965A-E80035B7F210}"/>
    <cellStyle name="40% - Énfasis4 2 6 2" xfId="5135" xr:uid="{AB7393BF-139F-44C0-95B8-C46459B5605E}"/>
    <cellStyle name="40% - Énfasis4 2 6 2 2" xfId="9703" xr:uid="{E4F24AD2-D9D8-4407-8CFD-72743A8C34DB}"/>
    <cellStyle name="40% - Énfasis4 2 6 3" xfId="7411" xr:uid="{4BA03F25-166F-4D93-93FF-424B3C526620}"/>
    <cellStyle name="40% - Énfasis4 2 7" xfId="4045" xr:uid="{2C004746-47D7-40CA-8E3B-C61111AC68CC}"/>
    <cellStyle name="40% - Énfasis4 2 7 2" xfId="8614" xr:uid="{697599DF-D79E-4243-9119-C1ED3002A1E4}"/>
    <cellStyle name="40% - Énfasis4 2 8" xfId="6411" xr:uid="{5EC61FBC-F1B7-4BBB-AFE0-F435FBE55C68}"/>
    <cellStyle name="40% - Énfasis4 2 9" xfId="1397" xr:uid="{EA04FDE5-0B44-4138-9B95-FD0904A05975}"/>
    <cellStyle name="40% - Énfasis4 3" xfId="114" xr:uid="{00000000-0005-0000-0000-00006D000000}"/>
    <cellStyle name="40% - Énfasis4 4" xfId="115" xr:uid="{00000000-0005-0000-0000-00006E000000}"/>
    <cellStyle name="40% - Énfasis5 2" xfId="116" xr:uid="{00000000-0005-0000-0000-00006F000000}"/>
    <cellStyle name="40% - Énfasis5 2 2" xfId="117" xr:uid="{00000000-0005-0000-0000-000070000000}"/>
    <cellStyle name="40% - Énfasis5 2 2 2" xfId="118" xr:uid="{00000000-0005-0000-0000-000071000000}"/>
    <cellStyle name="40% - Énfasis5 2 2 2 2" xfId="1688" xr:uid="{3192FFA9-1D66-4D75-9BC5-A351DB47D608}"/>
    <cellStyle name="40% - Énfasis5 2 2 2 2 2" xfId="2333" xr:uid="{52D1CBA9-3F36-4799-897C-9B76F39A8E98}"/>
    <cellStyle name="40% - Énfasis5 2 2 2 2 2 2" xfId="3344" xr:uid="{B905E423-8731-42E2-AE13-7069BAC93C35}"/>
    <cellStyle name="40% - Énfasis5 2 2 2 2 2 2 2" xfId="5768" xr:uid="{75AF32D3-8246-443C-9173-9E48BFEAEEB7}"/>
    <cellStyle name="40% - Énfasis5 2 2 2 2 2 2 2 2" xfId="10336" xr:uid="{F61DEDF5-C597-4E54-A28F-52ECE051ACF2}"/>
    <cellStyle name="40% - Énfasis5 2 2 2 2 2 2 3" xfId="8044" xr:uid="{708FE23B-7FA6-4784-AEF4-72138B2A9B7A}"/>
    <cellStyle name="40% - Énfasis5 2 2 2 2 2 3" xfId="4759" xr:uid="{3CEE5EDB-86C7-4D69-9E31-A1FBD66574B0}"/>
    <cellStyle name="40% - Énfasis5 2 2 2 2 2 3 2" xfId="9327" xr:uid="{9065B23F-DD79-4CFD-8864-89D7FCAC3FE2}"/>
    <cellStyle name="40% - Énfasis5 2 2 2 2 2 4" xfId="7035" xr:uid="{2E44BF08-3134-419D-A17D-01139D4AF56B}"/>
    <cellStyle name="40% - Énfasis5 2 2 2 2 3" xfId="2916" xr:uid="{33C47B7C-60B3-45CE-8D16-2AB9F39184BC}"/>
    <cellStyle name="40% - Énfasis5 2 2 2 2 3 2" xfId="5340" xr:uid="{819ECCD4-588C-4426-9783-2F5DB0E218CD}"/>
    <cellStyle name="40% - Énfasis5 2 2 2 2 3 2 2" xfId="9908" xr:uid="{1AD82925-5E9F-4D97-ADBA-7DB569DCA5BA}"/>
    <cellStyle name="40% - Énfasis5 2 2 2 2 3 3" xfId="7616" xr:uid="{0415E73E-508A-4CE5-8570-E6E2A96AE05D}"/>
    <cellStyle name="40% - Énfasis5 2 2 2 2 4" xfId="4331" xr:uid="{35EBE6ED-364F-4B92-9B0F-74EFF76D7BA0}"/>
    <cellStyle name="40% - Énfasis5 2 2 2 2 4 2" xfId="8899" xr:uid="{927E3DF1-D458-428E-9F12-9AD1C83A97A6}"/>
    <cellStyle name="40% - Énfasis5 2 2 2 2 5" xfId="6607" xr:uid="{0F38225E-C219-41DC-BACB-80BD4E922B00}"/>
    <cellStyle name="40% - Énfasis5 2 2 2 3" xfId="2038" xr:uid="{FBDE34A3-116F-4899-9BAA-6E7A92E581E2}"/>
    <cellStyle name="40% - Énfasis5 2 2 2 3 2" xfId="3157" xr:uid="{B2D0A41E-46C2-4FCF-B1DE-D6E88662D1E5}"/>
    <cellStyle name="40% - Énfasis5 2 2 2 3 2 2" xfId="5581" xr:uid="{5F112803-4803-425B-AD8B-3A6A1693CA41}"/>
    <cellStyle name="40% - Énfasis5 2 2 2 3 2 2 2" xfId="10149" xr:uid="{7E882483-62EF-40B5-BC9E-4A8AB707E6D7}"/>
    <cellStyle name="40% - Énfasis5 2 2 2 3 2 3" xfId="7857" xr:uid="{48355686-D512-45A6-89B5-8279FE9EFE8E}"/>
    <cellStyle name="40% - Énfasis5 2 2 2 3 3" xfId="4572" xr:uid="{B394D2C9-F893-4823-B23B-934D4F514F7E}"/>
    <cellStyle name="40% - Énfasis5 2 2 2 3 3 2" xfId="9140" xr:uid="{C73B3693-AAE7-493C-8F03-0ABC85344890}"/>
    <cellStyle name="40% - Énfasis5 2 2 2 3 4" xfId="6848" xr:uid="{8A13B787-3876-4C1F-A5C6-4803FE225F39}"/>
    <cellStyle name="40% - Énfasis5 2 2 2 4" xfId="2715" xr:uid="{3168393F-5260-40AA-87E3-FA096AAD0387}"/>
    <cellStyle name="40% - Énfasis5 2 2 2 4 2" xfId="5141" xr:uid="{239D32F8-3F37-4E5A-A730-92A832AB8FC1}"/>
    <cellStyle name="40% - Énfasis5 2 2 2 4 2 2" xfId="9709" xr:uid="{B3531E2C-7E04-456D-83A1-C49DB8617D47}"/>
    <cellStyle name="40% - Énfasis5 2 2 2 4 3" xfId="7417" xr:uid="{EF2F25EF-9FAE-4D0C-88B0-D9D085EAB1A4}"/>
    <cellStyle name="40% - Énfasis5 2 2 2 5" xfId="4051" xr:uid="{D2C3DA62-AF45-404E-8FFF-F9BC0252E45B}"/>
    <cellStyle name="40% - Énfasis5 2 2 2 5 2" xfId="8620" xr:uid="{5E27D870-F58A-4875-B46D-31FB0E8ABCF2}"/>
    <cellStyle name="40% - Énfasis5 2 2 2 6" xfId="6417" xr:uid="{3CB6D0F7-7376-498E-8BD7-F06CA3C1BB9D}"/>
    <cellStyle name="40% - Énfasis5 2 2 2 7" xfId="1403" xr:uid="{3658C6D4-BA7F-4363-AFBD-1E9224DD491E}"/>
    <cellStyle name="40% - Énfasis5 2 2 3" xfId="1687" xr:uid="{191CB090-300E-483C-AE91-4C44A3AED1D1}"/>
    <cellStyle name="40% - Énfasis5 2 2 3 2" xfId="2332" xr:uid="{602AB639-9516-4E3C-9823-7383ED48DED7}"/>
    <cellStyle name="40% - Énfasis5 2 2 3 2 2" xfId="3343" xr:uid="{9B28C579-929E-4AAA-B251-687FC7DC9516}"/>
    <cellStyle name="40% - Énfasis5 2 2 3 2 2 2" xfId="5767" xr:uid="{092F30DD-6F8A-4438-A6A8-78B7FED9B0B2}"/>
    <cellStyle name="40% - Énfasis5 2 2 3 2 2 2 2" xfId="10335" xr:uid="{BC6882C2-C4D9-4689-A84E-3A382A6C5FC5}"/>
    <cellStyle name="40% - Énfasis5 2 2 3 2 2 3" xfId="8043" xr:uid="{54B3CED3-F714-4762-B23C-10EE1EFF62D9}"/>
    <cellStyle name="40% - Énfasis5 2 2 3 2 3" xfId="4758" xr:uid="{B4FC8C14-03BA-4B7B-8414-BECDD26B5A1A}"/>
    <cellStyle name="40% - Énfasis5 2 2 3 2 3 2" xfId="9326" xr:uid="{34DAF23C-7465-4C84-B212-447D8A4BFDB0}"/>
    <cellStyle name="40% - Énfasis5 2 2 3 2 4" xfId="7034" xr:uid="{E6914950-48C1-4A9F-8E74-8946B0101DF3}"/>
    <cellStyle name="40% - Énfasis5 2 2 3 3" xfId="2915" xr:uid="{8A7841E9-B099-4C44-8AB1-D6D5B6EF0DDD}"/>
    <cellStyle name="40% - Énfasis5 2 2 3 3 2" xfId="5339" xr:uid="{A6BFD566-EBEE-43B1-ADD4-80C06AA35676}"/>
    <cellStyle name="40% - Énfasis5 2 2 3 3 2 2" xfId="9907" xr:uid="{82E0E133-8096-43F2-BD18-3BBCA52F5E7A}"/>
    <cellStyle name="40% - Énfasis5 2 2 3 3 3" xfId="7615" xr:uid="{69B0AA29-73CF-4999-9350-BE65C6ADFB3D}"/>
    <cellStyle name="40% - Énfasis5 2 2 3 4" xfId="4330" xr:uid="{E04B179C-0365-4787-A23B-310B2E65784A}"/>
    <cellStyle name="40% - Énfasis5 2 2 3 4 2" xfId="8898" xr:uid="{424B8F67-32B0-4E16-961A-D037D767DCB8}"/>
    <cellStyle name="40% - Énfasis5 2 2 3 5" xfId="6606" xr:uid="{5E805534-4B7E-438B-BD57-733A836E86B2}"/>
    <cellStyle name="40% - Énfasis5 2 2 4" xfId="2037" xr:uid="{2CADF6C2-BA68-4AB9-927D-CDF2AC7825B4}"/>
    <cellStyle name="40% - Énfasis5 2 2 4 2" xfId="3156" xr:uid="{571E9AE5-FEF4-49B2-B457-1C5B9BDFE7E3}"/>
    <cellStyle name="40% - Énfasis5 2 2 4 2 2" xfId="5580" xr:uid="{EA4F19BE-61F7-481F-8486-B6921F8BF518}"/>
    <cellStyle name="40% - Énfasis5 2 2 4 2 2 2" xfId="10148" xr:uid="{45C449B1-0D5A-4570-9C20-FC2B8B6D6C0C}"/>
    <cellStyle name="40% - Énfasis5 2 2 4 2 3" xfId="7856" xr:uid="{424462FB-7923-4B83-AC06-0FBA73AFF3D4}"/>
    <cellStyle name="40% - Énfasis5 2 2 4 3" xfId="4571" xr:uid="{C9AE4FA9-84B9-4B65-BAB0-62D9F8D101D3}"/>
    <cellStyle name="40% - Énfasis5 2 2 4 3 2" xfId="9139" xr:uid="{BC95F571-9858-48C2-858F-F2E6A87D72BB}"/>
    <cellStyle name="40% - Énfasis5 2 2 4 4" xfId="6847" xr:uid="{DA0BC0BE-656D-43E2-AB00-24FD366FE073}"/>
    <cellStyle name="40% - Énfasis5 2 2 5" xfId="2714" xr:uid="{83F5B11D-AAD7-464C-94EC-503AA89ECF39}"/>
    <cellStyle name="40% - Énfasis5 2 2 5 2" xfId="5140" xr:uid="{442FBD4F-0717-4338-9CE4-B7047ABA5BEB}"/>
    <cellStyle name="40% - Énfasis5 2 2 5 2 2" xfId="9708" xr:uid="{E0656F5A-2D40-4E06-A476-FE9D89324538}"/>
    <cellStyle name="40% - Énfasis5 2 2 5 3" xfId="7416" xr:uid="{9F7CB9EF-1B3E-4E1E-AC23-890BBAAE339B}"/>
    <cellStyle name="40% - Énfasis5 2 2 6" xfId="4050" xr:uid="{153DDB38-EA19-48C5-9169-9EF8A676F6E6}"/>
    <cellStyle name="40% - Énfasis5 2 2 6 2" xfId="8619" xr:uid="{0F7D9FF9-E0B3-4723-8B0B-DBCAF10EA184}"/>
    <cellStyle name="40% - Énfasis5 2 2 7" xfId="6416" xr:uid="{900CFC47-3694-4615-952D-35631AD2FF06}"/>
    <cellStyle name="40% - Énfasis5 2 2 8" xfId="1402" xr:uid="{E6CFED0E-F739-46D7-91D4-001FF9E0167A}"/>
    <cellStyle name="40% - Énfasis5 2 3" xfId="119" xr:uid="{00000000-0005-0000-0000-000072000000}"/>
    <cellStyle name="40% - Énfasis5 2 3 2" xfId="1689" xr:uid="{DBC4C9F9-59BA-47DE-8784-1B710BF71DE1}"/>
    <cellStyle name="40% - Énfasis5 2 3 2 2" xfId="2334" xr:uid="{81C18A09-A39D-42C4-8DEA-81CE63A9C08B}"/>
    <cellStyle name="40% - Énfasis5 2 3 2 2 2" xfId="3345" xr:uid="{1EE8D15A-27C2-41E6-A7CA-2AD76245F214}"/>
    <cellStyle name="40% - Énfasis5 2 3 2 2 2 2" xfId="5769" xr:uid="{B8877139-498A-4ED1-B508-D3D5F2F25B36}"/>
    <cellStyle name="40% - Énfasis5 2 3 2 2 2 2 2" xfId="10337" xr:uid="{63EA7112-373D-4595-B782-AB402111EF72}"/>
    <cellStyle name="40% - Énfasis5 2 3 2 2 2 3" xfId="8045" xr:uid="{1318255A-C3F5-4AD9-84C8-AEF46C6E1419}"/>
    <cellStyle name="40% - Énfasis5 2 3 2 2 3" xfId="4760" xr:uid="{B289516D-3CEA-4137-9F4B-857BBF92F2B3}"/>
    <cellStyle name="40% - Énfasis5 2 3 2 2 3 2" xfId="9328" xr:uid="{34117650-EB41-440A-9351-33C9F85D3D52}"/>
    <cellStyle name="40% - Énfasis5 2 3 2 2 4" xfId="7036" xr:uid="{92D578AA-CD9A-460F-8BBF-1F675BB7888D}"/>
    <cellStyle name="40% - Énfasis5 2 3 2 3" xfId="2917" xr:uid="{55D8722C-B094-491F-BF55-B3235CCCB88F}"/>
    <cellStyle name="40% - Énfasis5 2 3 2 3 2" xfId="5341" xr:uid="{53730A84-E905-4BFD-8595-B1D447AFF293}"/>
    <cellStyle name="40% - Énfasis5 2 3 2 3 2 2" xfId="9909" xr:uid="{27E08381-D898-495A-AF09-B5C835F522D8}"/>
    <cellStyle name="40% - Énfasis5 2 3 2 3 3" xfId="7617" xr:uid="{282864D9-B91A-4C98-88DC-2B6170B54012}"/>
    <cellStyle name="40% - Énfasis5 2 3 2 4" xfId="4332" xr:uid="{5B6293EA-B22B-4991-A8F2-5F52F7B9AF64}"/>
    <cellStyle name="40% - Énfasis5 2 3 2 4 2" xfId="8900" xr:uid="{7BE28969-4315-494A-ACAC-AE22476BD9D3}"/>
    <cellStyle name="40% - Énfasis5 2 3 2 5" xfId="6608" xr:uid="{AC074456-2D78-4D99-BA21-9103A3DC1FB2}"/>
    <cellStyle name="40% - Énfasis5 2 3 3" xfId="2039" xr:uid="{394E2435-3E07-48E6-9F8A-5A13E9F38CF4}"/>
    <cellStyle name="40% - Énfasis5 2 3 3 2" xfId="3158" xr:uid="{78D1B5EB-95B6-4912-A936-78CEA6502511}"/>
    <cellStyle name="40% - Énfasis5 2 3 3 2 2" xfId="5582" xr:uid="{8AD3E72F-FC3C-48EE-85BD-31DAE547F526}"/>
    <cellStyle name="40% - Énfasis5 2 3 3 2 2 2" xfId="10150" xr:uid="{BDCF1FCD-E20B-49AC-BB53-82DD99FC6232}"/>
    <cellStyle name="40% - Énfasis5 2 3 3 2 3" xfId="7858" xr:uid="{09875850-1463-4319-B9A6-9741560C7C70}"/>
    <cellStyle name="40% - Énfasis5 2 3 3 3" xfId="4573" xr:uid="{D2642BF8-EFF8-4A98-B97E-F8F1607FE323}"/>
    <cellStyle name="40% - Énfasis5 2 3 3 3 2" xfId="9141" xr:uid="{56DF6999-EBA7-4481-B0EF-E4D918E519D7}"/>
    <cellStyle name="40% - Énfasis5 2 3 3 4" xfId="6849" xr:uid="{8149D5A8-636F-43E7-9B27-2B5F31A5F211}"/>
    <cellStyle name="40% - Énfasis5 2 3 4" xfId="2716" xr:uid="{1E157858-9A74-4E37-BB6F-FCC9DB5E6D8A}"/>
    <cellStyle name="40% - Énfasis5 2 3 4 2" xfId="5142" xr:uid="{DB3F68B5-F6B2-4D6F-AFAE-BAF61E703C7F}"/>
    <cellStyle name="40% - Énfasis5 2 3 4 2 2" xfId="9710" xr:uid="{6A8A9122-79C4-422A-83C2-9FA47922AED6}"/>
    <cellStyle name="40% - Énfasis5 2 3 4 3" xfId="7418" xr:uid="{BDF195C4-E7A0-4417-8CA3-BD1522078CCD}"/>
    <cellStyle name="40% - Énfasis5 2 3 5" xfId="4052" xr:uid="{A8C0E1C1-5912-4610-9888-C183C7D32DE1}"/>
    <cellStyle name="40% - Énfasis5 2 3 5 2" xfId="8621" xr:uid="{FA6B9A54-DC16-480D-B768-26C4DB1D586C}"/>
    <cellStyle name="40% - Énfasis5 2 3 6" xfId="6418" xr:uid="{867BF45A-4E2E-41DC-A935-D9087899861A}"/>
    <cellStyle name="40% - Énfasis5 2 3 7" xfId="1404" xr:uid="{59BC21BC-D4D6-45F5-A357-6B1D82A1888C}"/>
    <cellStyle name="40% - Énfasis5 2 4" xfId="1686" xr:uid="{0A1CBC66-CC71-416D-B798-113F5D2E43F8}"/>
    <cellStyle name="40% - Énfasis5 2 4 2" xfId="2331" xr:uid="{4D7F327C-BD58-4F91-BFC0-ACFFF37115D6}"/>
    <cellStyle name="40% - Énfasis5 2 4 2 2" xfId="3342" xr:uid="{EFB33E87-BA2A-43F2-AA6C-E52F1E2F3CB9}"/>
    <cellStyle name="40% - Énfasis5 2 4 2 2 2" xfId="5766" xr:uid="{6E4BFAD5-CBFC-4ED3-85ED-BA31176B515E}"/>
    <cellStyle name="40% - Énfasis5 2 4 2 2 2 2" xfId="10334" xr:uid="{B1D6CAE4-A9D7-4D6F-891A-1EFAC894AE6E}"/>
    <cellStyle name="40% - Énfasis5 2 4 2 2 3" xfId="8042" xr:uid="{F5C41BCE-CC83-4659-9089-CDAFC27272F4}"/>
    <cellStyle name="40% - Énfasis5 2 4 2 3" xfId="4757" xr:uid="{7A408D0B-C8AC-4847-9059-6F72831B7B90}"/>
    <cellStyle name="40% - Énfasis5 2 4 2 3 2" xfId="9325" xr:uid="{282AF84C-13CB-46CE-A9A6-5389F414A248}"/>
    <cellStyle name="40% - Énfasis5 2 4 2 4" xfId="7033" xr:uid="{C784A24D-42E7-4D9F-9A5F-8B73A8B7E4CC}"/>
    <cellStyle name="40% - Énfasis5 2 4 3" xfId="2914" xr:uid="{A14481CF-BF03-40F6-8E9A-FFF37A01751E}"/>
    <cellStyle name="40% - Énfasis5 2 4 3 2" xfId="5338" xr:uid="{B4BF26EE-70B5-4940-839B-193F79C84B62}"/>
    <cellStyle name="40% - Énfasis5 2 4 3 2 2" xfId="9906" xr:uid="{9D053384-32B1-487D-A18B-9BEDF853C520}"/>
    <cellStyle name="40% - Énfasis5 2 4 3 3" xfId="7614" xr:uid="{22AEDE47-7541-47A4-A9AD-EF58D9FF6313}"/>
    <cellStyle name="40% - Énfasis5 2 4 4" xfId="4329" xr:uid="{A287FD97-BA75-40A6-8075-0C19ED70A1C7}"/>
    <cellStyle name="40% - Énfasis5 2 4 4 2" xfId="8897" xr:uid="{C67F1DCA-44E6-42F3-9306-7BA5B9689A43}"/>
    <cellStyle name="40% - Énfasis5 2 4 5" xfId="6605" xr:uid="{B347BB62-7D8A-4847-88EC-0F2BD286CA0F}"/>
    <cellStyle name="40% - Énfasis5 2 5" xfId="2036" xr:uid="{8C537911-31A9-4AD8-AA62-534E2ED2C17C}"/>
    <cellStyle name="40% - Énfasis5 2 5 2" xfId="3155" xr:uid="{144A24FB-3924-4AC3-9BB7-32EEB4C097BD}"/>
    <cellStyle name="40% - Énfasis5 2 5 2 2" xfId="5579" xr:uid="{D4A7C1E2-90D8-4992-9C1B-CA1AF4CD2C22}"/>
    <cellStyle name="40% - Énfasis5 2 5 2 2 2" xfId="10147" xr:uid="{2E19A4AE-C424-43F4-BD63-115F265B07B1}"/>
    <cellStyle name="40% - Énfasis5 2 5 2 3" xfId="7855" xr:uid="{CEDCC0AE-5B67-42B8-B136-D4B3198FA52A}"/>
    <cellStyle name="40% - Énfasis5 2 5 3" xfId="4570" xr:uid="{15DC2855-1FBC-4D29-A994-7E49B039C45C}"/>
    <cellStyle name="40% - Énfasis5 2 5 3 2" xfId="9138" xr:uid="{82EEE634-31FD-4502-92DB-BBB8F45A5ED4}"/>
    <cellStyle name="40% - Énfasis5 2 5 4" xfId="6846" xr:uid="{5A002547-6A86-4C22-A6B1-6FCAAF7440E4}"/>
    <cellStyle name="40% - Énfasis5 2 6" xfId="2713" xr:uid="{475EA945-9CD4-4417-95E2-98B1834974B1}"/>
    <cellStyle name="40% - Énfasis5 2 6 2" xfId="5139" xr:uid="{BF28ACFB-1EC2-4685-883E-AD563ED88656}"/>
    <cellStyle name="40% - Énfasis5 2 6 2 2" xfId="9707" xr:uid="{57214134-7DB9-4AE2-9A43-E0CE57C31342}"/>
    <cellStyle name="40% - Énfasis5 2 6 3" xfId="7415" xr:uid="{5E9E4190-96A0-4540-9227-5C4A45FF9C35}"/>
    <cellStyle name="40% - Énfasis5 2 7" xfId="4049" xr:uid="{2D94EE49-7173-4507-BBA2-3F95136081A7}"/>
    <cellStyle name="40% - Énfasis5 2 7 2" xfId="8618" xr:uid="{FA9ED548-3477-48A1-892A-9F74C15587DE}"/>
    <cellStyle name="40% - Énfasis5 2 8" xfId="6415" xr:uid="{D8503430-4B65-46A2-BE57-450A7FEF0B0F}"/>
    <cellStyle name="40% - Énfasis5 2 9" xfId="1401" xr:uid="{857FFA1E-B03B-44CC-B152-CB03877713F7}"/>
    <cellStyle name="40% - Énfasis5 3" xfId="120" xr:uid="{00000000-0005-0000-0000-000073000000}"/>
    <cellStyle name="40% - Énfasis5 4" xfId="121" xr:uid="{00000000-0005-0000-0000-000074000000}"/>
    <cellStyle name="40% - Énfasis6 2" xfId="122" xr:uid="{00000000-0005-0000-0000-000075000000}"/>
    <cellStyle name="40% - Énfasis6 2 2" xfId="123" xr:uid="{00000000-0005-0000-0000-000076000000}"/>
    <cellStyle name="40% - Énfasis6 2 2 2" xfId="124" xr:uid="{00000000-0005-0000-0000-000077000000}"/>
    <cellStyle name="40% - Énfasis6 2 2 2 2" xfId="1692" xr:uid="{FD8256CE-F046-4E71-94D5-D9570A4B41DA}"/>
    <cellStyle name="40% - Énfasis6 2 2 2 2 2" xfId="2337" xr:uid="{0219B378-3DA8-43F7-8C14-F7C735186001}"/>
    <cellStyle name="40% - Énfasis6 2 2 2 2 2 2" xfId="3348" xr:uid="{C023474B-D736-4087-BB0E-340ACD8B06BB}"/>
    <cellStyle name="40% - Énfasis6 2 2 2 2 2 2 2" xfId="5772" xr:uid="{3CBF3DE4-51BA-4B1C-BE9D-20EDBA4B9698}"/>
    <cellStyle name="40% - Énfasis6 2 2 2 2 2 2 2 2" xfId="10340" xr:uid="{D737B77E-98BA-4B53-BE3D-041D8308802E}"/>
    <cellStyle name="40% - Énfasis6 2 2 2 2 2 2 3" xfId="8048" xr:uid="{842444E7-3A2B-4423-BA72-DAF34105168F}"/>
    <cellStyle name="40% - Énfasis6 2 2 2 2 2 3" xfId="4763" xr:uid="{AA975A4E-D3E2-4EF1-8F73-B3C14CA2104C}"/>
    <cellStyle name="40% - Énfasis6 2 2 2 2 2 3 2" xfId="9331" xr:uid="{2E1972D7-0FCC-405A-93AB-3A382B75FD16}"/>
    <cellStyle name="40% - Énfasis6 2 2 2 2 2 4" xfId="7039" xr:uid="{E11D6608-3810-462B-AD5A-B1FA2AD6B607}"/>
    <cellStyle name="40% - Énfasis6 2 2 2 2 3" xfId="2920" xr:uid="{751D8F37-86AC-404F-A5D7-9FDD20D8B33D}"/>
    <cellStyle name="40% - Énfasis6 2 2 2 2 3 2" xfId="5344" xr:uid="{63ED019C-EF05-4203-A144-DF6B1D8ECA10}"/>
    <cellStyle name="40% - Énfasis6 2 2 2 2 3 2 2" xfId="9912" xr:uid="{068A3667-5BFD-4E9B-AF63-EB3FC84202CD}"/>
    <cellStyle name="40% - Énfasis6 2 2 2 2 3 3" xfId="7620" xr:uid="{50315400-ABDF-4887-A9E7-2AB308EC1B72}"/>
    <cellStyle name="40% - Énfasis6 2 2 2 2 4" xfId="4335" xr:uid="{03C1C918-8557-46F4-B749-D2AD6DE1BB7E}"/>
    <cellStyle name="40% - Énfasis6 2 2 2 2 4 2" xfId="8903" xr:uid="{7C647E61-DB91-4054-8458-01594944207B}"/>
    <cellStyle name="40% - Énfasis6 2 2 2 2 5" xfId="6611" xr:uid="{A5D82123-683F-489F-9596-FC722A1F3FB5}"/>
    <cellStyle name="40% - Énfasis6 2 2 2 3" xfId="2042" xr:uid="{AB93F588-0382-4364-9CCA-1CD856288BAB}"/>
    <cellStyle name="40% - Énfasis6 2 2 2 3 2" xfId="3161" xr:uid="{E10A7BE5-E46F-45C4-ADDE-FA0F9FCB161D}"/>
    <cellStyle name="40% - Énfasis6 2 2 2 3 2 2" xfId="5585" xr:uid="{C3C1590F-3FB5-47D5-9499-EA8746AA0764}"/>
    <cellStyle name="40% - Énfasis6 2 2 2 3 2 2 2" xfId="10153" xr:uid="{CFB4B77C-5D19-46B7-A5F0-00DC10828C00}"/>
    <cellStyle name="40% - Énfasis6 2 2 2 3 2 3" xfId="7861" xr:uid="{49A65851-E71D-4C26-B141-ADB182B9F30D}"/>
    <cellStyle name="40% - Énfasis6 2 2 2 3 3" xfId="4576" xr:uid="{54296A29-5482-4FB1-B251-5BA732A8DD9B}"/>
    <cellStyle name="40% - Énfasis6 2 2 2 3 3 2" xfId="9144" xr:uid="{BA949A96-ACD8-4883-868E-9559D9E793AD}"/>
    <cellStyle name="40% - Énfasis6 2 2 2 3 4" xfId="6852" xr:uid="{3DEB5D19-11BF-4085-B514-94195E40F565}"/>
    <cellStyle name="40% - Énfasis6 2 2 2 4" xfId="2719" xr:uid="{34AC2303-FE05-4C0A-B7DE-FDA9B9C901DD}"/>
    <cellStyle name="40% - Énfasis6 2 2 2 4 2" xfId="5145" xr:uid="{4E3754D6-0793-4DE2-9C54-53653A327C45}"/>
    <cellStyle name="40% - Énfasis6 2 2 2 4 2 2" xfId="9713" xr:uid="{F58D29EE-C3F7-41FD-9D0E-E9E740FF745E}"/>
    <cellStyle name="40% - Énfasis6 2 2 2 4 3" xfId="7421" xr:uid="{3EAE7CD3-4F59-42EF-A284-FDF54457D54E}"/>
    <cellStyle name="40% - Énfasis6 2 2 2 5" xfId="4055" xr:uid="{C2C4C2C8-402A-478E-9BDF-961A0D84B517}"/>
    <cellStyle name="40% - Énfasis6 2 2 2 5 2" xfId="8624" xr:uid="{DCA310FC-8662-43C3-8931-4EC010A2E64A}"/>
    <cellStyle name="40% - Énfasis6 2 2 2 6" xfId="6421" xr:uid="{918B6099-B03C-46A1-BDCE-CDFB36A5B017}"/>
    <cellStyle name="40% - Énfasis6 2 2 2 7" xfId="1407" xr:uid="{C51D75FD-E5D4-4248-AC68-8EC8466D4CB9}"/>
    <cellStyle name="40% - Énfasis6 2 2 3" xfId="1691" xr:uid="{513B6F8D-9019-44B4-851D-8DD54FBA5E2D}"/>
    <cellStyle name="40% - Énfasis6 2 2 3 2" xfId="2336" xr:uid="{8E5A1438-7CE3-4488-BEEF-A209FE155053}"/>
    <cellStyle name="40% - Énfasis6 2 2 3 2 2" xfId="3347" xr:uid="{BF3B96B2-B88A-4421-BADD-9825B0B5962C}"/>
    <cellStyle name="40% - Énfasis6 2 2 3 2 2 2" xfId="5771" xr:uid="{2127E8EF-4DBA-48BF-94B7-BCA6262F691D}"/>
    <cellStyle name="40% - Énfasis6 2 2 3 2 2 2 2" xfId="10339" xr:uid="{912C6765-03C8-4DFA-9794-0A0D4C65DC64}"/>
    <cellStyle name="40% - Énfasis6 2 2 3 2 2 3" xfId="8047" xr:uid="{79495C53-2254-418A-9FB6-A5A4522A5387}"/>
    <cellStyle name="40% - Énfasis6 2 2 3 2 3" xfId="4762" xr:uid="{6117EE02-4E0F-484A-A917-2477FD6923F1}"/>
    <cellStyle name="40% - Énfasis6 2 2 3 2 3 2" xfId="9330" xr:uid="{855F5321-E8FF-45BD-865A-6EBD111CA7B0}"/>
    <cellStyle name="40% - Énfasis6 2 2 3 2 4" xfId="7038" xr:uid="{A19D0882-04AF-4F21-A129-D28E98D4A9B1}"/>
    <cellStyle name="40% - Énfasis6 2 2 3 3" xfId="2919" xr:uid="{E0F29160-7ACF-4097-9C00-FD7FD3A6A7FE}"/>
    <cellStyle name="40% - Énfasis6 2 2 3 3 2" xfId="5343" xr:uid="{0C10F37F-B09F-4526-A523-8269DEB4C100}"/>
    <cellStyle name="40% - Énfasis6 2 2 3 3 2 2" xfId="9911" xr:uid="{B4618520-006C-4067-A2D8-71D266FBE95B}"/>
    <cellStyle name="40% - Énfasis6 2 2 3 3 3" xfId="7619" xr:uid="{5C960950-DAC4-4BE0-B395-ADF89B6D4743}"/>
    <cellStyle name="40% - Énfasis6 2 2 3 4" xfId="4334" xr:uid="{14C8C6E5-8C09-461D-ADD7-E3B2EA922FB1}"/>
    <cellStyle name="40% - Énfasis6 2 2 3 4 2" xfId="8902" xr:uid="{5B774F5A-EE33-4812-9BDD-0B44A8E0DEE7}"/>
    <cellStyle name="40% - Énfasis6 2 2 3 5" xfId="6610" xr:uid="{5DB86D2C-FFA3-4671-BBEC-4123428D4A08}"/>
    <cellStyle name="40% - Énfasis6 2 2 4" xfId="2041" xr:uid="{FF9C59A1-63FD-4282-9D79-82AFD8AB68C1}"/>
    <cellStyle name="40% - Énfasis6 2 2 4 2" xfId="3160" xr:uid="{6C2E8EB8-41EE-4E56-B9F2-6FAA70444ED6}"/>
    <cellStyle name="40% - Énfasis6 2 2 4 2 2" xfId="5584" xr:uid="{AA041CA1-CFFD-4ACA-BED4-9E730E480AD5}"/>
    <cellStyle name="40% - Énfasis6 2 2 4 2 2 2" xfId="10152" xr:uid="{3E807DB3-F721-449A-8EB5-C2EC7FC1D0A1}"/>
    <cellStyle name="40% - Énfasis6 2 2 4 2 3" xfId="7860" xr:uid="{629D24C1-E9B7-44FD-A4D5-2F225A7530C7}"/>
    <cellStyle name="40% - Énfasis6 2 2 4 3" xfId="4575" xr:uid="{91B2738D-01EA-4883-91E8-9A9DB1D7EF16}"/>
    <cellStyle name="40% - Énfasis6 2 2 4 3 2" xfId="9143" xr:uid="{6BF93671-D25E-4607-AA69-CF8D030249B8}"/>
    <cellStyle name="40% - Énfasis6 2 2 4 4" xfId="6851" xr:uid="{71FA0962-8FCD-4B3A-8DB1-BE6FB992E99A}"/>
    <cellStyle name="40% - Énfasis6 2 2 5" xfId="2718" xr:uid="{C314786C-AEE1-43C2-B8B3-0146DBE31614}"/>
    <cellStyle name="40% - Énfasis6 2 2 5 2" xfId="5144" xr:uid="{9512F4A2-0951-4D6B-87CC-19DD69A4BF39}"/>
    <cellStyle name="40% - Énfasis6 2 2 5 2 2" xfId="9712" xr:uid="{B9B69A2B-C703-48CC-BA7D-EFC37925856C}"/>
    <cellStyle name="40% - Énfasis6 2 2 5 3" xfId="7420" xr:uid="{62D0C1C1-711E-46DE-A977-F53613442EFB}"/>
    <cellStyle name="40% - Énfasis6 2 2 6" xfId="4054" xr:uid="{72C49BB0-EB1A-4EAF-819F-C5D6E70FDC75}"/>
    <cellStyle name="40% - Énfasis6 2 2 6 2" xfId="8623" xr:uid="{AFAB491B-6F89-4D03-AE34-DA9607BD9C9A}"/>
    <cellStyle name="40% - Énfasis6 2 2 7" xfId="6420" xr:uid="{886689B0-FE31-47CF-8848-18331D179AA1}"/>
    <cellStyle name="40% - Énfasis6 2 2 8" xfId="1406" xr:uid="{5B84B3E5-8F0B-45C0-85CC-6AE8EF58F172}"/>
    <cellStyle name="40% - Énfasis6 2 3" xfId="125" xr:uid="{00000000-0005-0000-0000-000078000000}"/>
    <cellStyle name="40% - Énfasis6 2 3 2" xfId="1693" xr:uid="{2592EE77-51AF-49AC-A180-B9E593BB870A}"/>
    <cellStyle name="40% - Énfasis6 2 3 2 2" xfId="2338" xr:uid="{363B6A1F-EE06-44C9-B43A-05FF49721972}"/>
    <cellStyle name="40% - Énfasis6 2 3 2 2 2" xfId="3349" xr:uid="{95A835E0-4562-451F-BFCC-6BF77BC21A8A}"/>
    <cellStyle name="40% - Énfasis6 2 3 2 2 2 2" xfId="5773" xr:uid="{AE1D84E3-C059-408E-9FDF-13BF6E9EC71D}"/>
    <cellStyle name="40% - Énfasis6 2 3 2 2 2 2 2" xfId="10341" xr:uid="{AB54A33F-2DF3-469A-BC51-15601984C86A}"/>
    <cellStyle name="40% - Énfasis6 2 3 2 2 2 3" xfId="8049" xr:uid="{BA29B86C-1CA8-4D28-A954-9C5F956B2DAC}"/>
    <cellStyle name="40% - Énfasis6 2 3 2 2 3" xfId="4764" xr:uid="{E0FC4EB2-BEB4-4562-A14C-EC0FE8571BE1}"/>
    <cellStyle name="40% - Énfasis6 2 3 2 2 3 2" xfId="9332" xr:uid="{092DC315-8819-4F73-BFB5-6BC8E4C4B6E7}"/>
    <cellStyle name="40% - Énfasis6 2 3 2 2 4" xfId="7040" xr:uid="{A421D620-C23E-4C88-9D66-58ABE939AABB}"/>
    <cellStyle name="40% - Énfasis6 2 3 2 3" xfId="2921" xr:uid="{00D113C3-07C3-44A6-9BCF-74215FF43A52}"/>
    <cellStyle name="40% - Énfasis6 2 3 2 3 2" xfId="5345" xr:uid="{DDCDAABE-8E8E-4FAB-B421-7E9B4246043D}"/>
    <cellStyle name="40% - Énfasis6 2 3 2 3 2 2" xfId="9913" xr:uid="{0B1B9C18-8410-4939-B13F-6F41683CFD86}"/>
    <cellStyle name="40% - Énfasis6 2 3 2 3 3" xfId="7621" xr:uid="{3ED23B05-E1DC-4AF2-82F8-4A8265188948}"/>
    <cellStyle name="40% - Énfasis6 2 3 2 4" xfId="4336" xr:uid="{08CD4D53-7FA7-4489-B2C3-7EBC2FE306BA}"/>
    <cellStyle name="40% - Énfasis6 2 3 2 4 2" xfId="8904" xr:uid="{30D91C52-A068-4024-82F7-825A37FF5B5B}"/>
    <cellStyle name="40% - Énfasis6 2 3 2 5" xfId="6612" xr:uid="{B9D8F751-6C3E-46AD-979C-79B74FF27622}"/>
    <cellStyle name="40% - Énfasis6 2 3 3" xfId="2043" xr:uid="{7138F955-8C57-4383-A239-970ED945CE0F}"/>
    <cellStyle name="40% - Énfasis6 2 3 3 2" xfId="3162" xr:uid="{53A2E879-46E1-4A27-8BCE-1D1232303756}"/>
    <cellStyle name="40% - Énfasis6 2 3 3 2 2" xfId="5586" xr:uid="{5E7926E7-86A7-4D38-9972-E2D7C97C4CBE}"/>
    <cellStyle name="40% - Énfasis6 2 3 3 2 2 2" xfId="10154" xr:uid="{D7CB4C84-33D9-443D-B77D-9B1712C73B73}"/>
    <cellStyle name="40% - Énfasis6 2 3 3 2 3" xfId="7862" xr:uid="{F4103B7B-4EEC-408E-8DE4-89FDC5019C41}"/>
    <cellStyle name="40% - Énfasis6 2 3 3 3" xfId="4577" xr:uid="{00F24A01-8911-4392-B08D-53D77C8B3D02}"/>
    <cellStyle name="40% - Énfasis6 2 3 3 3 2" xfId="9145" xr:uid="{BC14CDBF-FA8C-4918-B027-C710CAD03A0D}"/>
    <cellStyle name="40% - Énfasis6 2 3 3 4" xfId="6853" xr:uid="{212493A7-4A23-40FC-8150-9085ECE87D31}"/>
    <cellStyle name="40% - Énfasis6 2 3 4" xfId="2720" xr:uid="{D111BEAB-A718-400F-B11C-C43BC00914EE}"/>
    <cellStyle name="40% - Énfasis6 2 3 4 2" xfId="5146" xr:uid="{D0D89578-9B32-47E3-A555-06B250A4B43B}"/>
    <cellStyle name="40% - Énfasis6 2 3 4 2 2" xfId="9714" xr:uid="{668551A6-8866-41A3-8A84-0C02AC64AD24}"/>
    <cellStyle name="40% - Énfasis6 2 3 4 3" xfId="7422" xr:uid="{EF0F4A58-3CA3-432A-9907-EFDB29E60F51}"/>
    <cellStyle name="40% - Énfasis6 2 3 5" xfId="4056" xr:uid="{BEC1815E-1F4B-4F11-9632-399FB10F4283}"/>
    <cellStyle name="40% - Énfasis6 2 3 5 2" xfId="8625" xr:uid="{78D08A9B-0348-4133-BFF0-4DB399FDBC0F}"/>
    <cellStyle name="40% - Énfasis6 2 3 6" xfId="6422" xr:uid="{A84E2DBB-26BB-4879-98AD-351F9BC3E0F0}"/>
    <cellStyle name="40% - Énfasis6 2 3 7" xfId="1408" xr:uid="{CC5CFF35-C850-4523-B77C-E0E4B1E4ABCA}"/>
    <cellStyle name="40% - Énfasis6 2 4" xfId="1690" xr:uid="{B80C0609-6CB1-47C8-97CA-8C39BF2E6E31}"/>
    <cellStyle name="40% - Énfasis6 2 4 2" xfId="2335" xr:uid="{B4715BFA-D46D-4C85-8B36-BEFA7E97E0B5}"/>
    <cellStyle name="40% - Énfasis6 2 4 2 2" xfId="3346" xr:uid="{F2E49568-64C4-49A2-9796-A2938C853381}"/>
    <cellStyle name="40% - Énfasis6 2 4 2 2 2" xfId="5770" xr:uid="{3711D18C-F820-4BC5-8393-DA7A3EF7D818}"/>
    <cellStyle name="40% - Énfasis6 2 4 2 2 2 2" xfId="10338" xr:uid="{1906EF96-8C2E-421A-8639-829DA92850C7}"/>
    <cellStyle name="40% - Énfasis6 2 4 2 2 3" xfId="8046" xr:uid="{E925605A-7A89-4239-87C4-4BEEC2C7737D}"/>
    <cellStyle name="40% - Énfasis6 2 4 2 3" xfId="4761" xr:uid="{E599D030-ECCF-46E9-9801-F81B0A6C69A0}"/>
    <cellStyle name="40% - Énfasis6 2 4 2 3 2" xfId="9329" xr:uid="{D869DE27-8A6A-451C-B709-50B626EA173D}"/>
    <cellStyle name="40% - Énfasis6 2 4 2 4" xfId="7037" xr:uid="{8F4B473D-942D-4F39-AB94-66B331C942F6}"/>
    <cellStyle name="40% - Énfasis6 2 4 3" xfId="2918" xr:uid="{07F9F291-9B86-4DB9-A432-80730D76470A}"/>
    <cellStyle name="40% - Énfasis6 2 4 3 2" xfId="5342" xr:uid="{77668DEB-B9FF-45E6-858F-37EF8DBE1D3B}"/>
    <cellStyle name="40% - Énfasis6 2 4 3 2 2" xfId="9910" xr:uid="{283EBB69-1538-4DAF-9508-C10414754A2E}"/>
    <cellStyle name="40% - Énfasis6 2 4 3 3" xfId="7618" xr:uid="{D23CE0D6-3D84-4B32-AB77-26A00A3B31B9}"/>
    <cellStyle name="40% - Énfasis6 2 4 4" xfId="4333" xr:uid="{FA3EC73D-9C7A-4B5A-B1FA-E9FB81599B46}"/>
    <cellStyle name="40% - Énfasis6 2 4 4 2" xfId="8901" xr:uid="{88192940-6E19-4736-97CC-223DCE3D1E6A}"/>
    <cellStyle name="40% - Énfasis6 2 4 5" xfId="6609" xr:uid="{D1F3E808-19A5-458E-AC43-B6126DB8FCE4}"/>
    <cellStyle name="40% - Énfasis6 2 5" xfId="2040" xr:uid="{7B59A2FE-A20C-4EE7-81FB-DCA8403E0369}"/>
    <cellStyle name="40% - Énfasis6 2 5 2" xfId="3159" xr:uid="{BB1F1C6C-F51A-4B15-974E-CC15EA99BD23}"/>
    <cellStyle name="40% - Énfasis6 2 5 2 2" xfId="5583" xr:uid="{54D41116-04D9-42AA-A676-0AC65DC14D4D}"/>
    <cellStyle name="40% - Énfasis6 2 5 2 2 2" xfId="10151" xr:uid="{2D788867-1C02-4C9A-B434-FE1243EB4F59}"/>
    <cellStyle name="40% - Énfasis6 2 5 2 3" xfId="7859" xr:uid="{A359DAAD-63A1-465F-97C3-1DEE777F7314}"/>
    <cellStyle name="40% - Énfasis6 2 5 3" xfId="4574" xr:uid="{F39DDAED-1B6B-47BB-82F1-072A7CCAAD38}"/>
    <cellStyle name="40% - Énfasis6 2 5 3 2" xfId="9142" xr:uid="{886EF1BD-1FA2-469D-9A4C-89CBDDFD566F}"/>
    <cellStyle name="40% - Énfasis6 2 5 4" xfId="6850" xr:uid="{E8468D21-CD0E-4AF9-9611-0B75E490F16C}"/>
    <cellStyle name="40% - Énfasis6 2 6" xfId="2717" xr:uid="{8EC2F5C6-4848-40EF-892E-B92AB758E1B8}"/>
    <cellStyle name="40% - Énfasis6 2 6 2" xfId="5143" xr:uid="{6558B7DB-52FD-414E-8DE1-00524C634E34}"/>
    <cellStyle name="40% - Énfasis6 2 6 2 2" xfId="9711" xr:uid="{CBABF3DF-4449-4BE6-AE68-4EF27B6287B5}"/>
    <cellStyle name="40% - Énfasis6 2 6 3" xfId="7419" xr:uid="{2846C6CD-BF50-4E39-B1A2-0252E087AEE5}"/>
    <cellStyle name="40% - Énfasis6 2 7" xfId="4053" xr:uid="{0019A2A2-7762-45C2-A03D-1CF03485F3EA}"/>
    <cellStyle name="40% - Énfasis6 2 7 2" xfId="8622" xr:uid="{C04914D9-7AB2-4374-A839-0794ED33778E}"/>
    <cellStyle name="40% - Énfasis6 2 8" xfId="6419" xr:uid="{133E9EC6-91D0-4D6A-BEB6-253154521651}"/>
    <cellStyle name="40% - Énfasis6 2 9" xfId="1405" xr:uid="{0F27BB6C-44E4-488E-8CC8-9D7B8151A570}"/>
    <cellStyle name="40% - Énfasis6 3" xfId="126" xr:uid="{00000000-0005-0000-0000-000079000000}"/>
    <cellStyle name="40% - Énfasis6 4" xfId="127" xr:uid="{00000000-0005-0000-0000-00007A000000}"/>
    <cellStyle name="60% - Accent1" xfId="128" xr:uid="{00000000-0005-0000-0000-00007B000000}"/>
    <cellStyle name="60% - Accent1 2" xfId="129" xr:uid="{00000000-0005-0000-0000-00007C000000}"/>
    <cellStyle name="60% - Accent1_PYG CemArgos consolidado" xfId="130" xr:uid="{00000000-0005-0000-0000-00007D000000}"/>
    <cellStyle name="60% - Accent2" xfId="131" xr:uid="{00000000-0005-0000-0000-00007E000000}"/>
    <cellStyle name="60% - Accent2 2" xfId="132" xr:uid="{00000000-0005-0000-0000-00007F000000}"/>
    <cellStyle name="60% - Accent2_PYG CemArgos consolidado" xfId="133" xr:uid="{00000000-0005-0000-0000-000080000000}"/>
    <cellStyle name="60% - Accent3" xfId="134" xr:uid="{00000000-0005-0000-0000-000081000000}"/>
    <cellStyle name="60% - Accent3 2" xfId="135" xr:uid="{00000000-0005-0000-0000-000082000000}"/>
    <cellStyle name="60% - Accent3_PYG CemArgos consolidado" xfId="136" xr:uid="{00000000-0005-0000-0000-000083000000}"/>
    <cellStyle name="60% - Accent4" xfId="137" xr:uid="{00000000-0005-0000-0000-000084000000}"/>
    <cellStyle name="60% - Accent4 2" xfId="138" xr:uid="{00000000-0005-0000-0000-000085000000}"/>
    <cellStyle name="60% - Accent4_PYG CemArgos consolidado" xfId="139" xr:uid="{00000000-0005-0000-0000-000086000000}"/>
    <cellStyle name="60% - Accent5" xfId="140" xr:uid="{00000000-0005-0000-0000-000087000000}"/>
    <cellStyle name="60% - Accent5 2" xfId="141" xr:uid="{00000000-0005-0000-0000-000088000000}"/>
    <cellStyle name="60% - Accent5_PYG CemArgos consolidado" xfId="142" xr:uid="{00000000-0005-0000-0000-000089000000}"/>
    <cellStyle name="60% - Accent6" xfId="143" xr:uid="{00000000-0005-0000-0000-00008A000000}"/>
    <cellStyle name="60% - Accent6 2" xfId="144" xr:uid="{00000000-0005-0000-0000-00008B000000}"/>
    <cellStyle name="60% - Accent6_PYG CemArgos consolidado" xfId="145" xr:uid="{00000000-0005-0000-0000-00008C000000}"/>
    <cellStyle name="60% - Énfasis1 2" xfId="146" xr:uid="{00000000-0005-0000-0000-00008D000000}"/>
    <cellStyle name="60% - Énfasis1 3" xfId="147" xr:uid="{00000000-0005-0000-0000-00008E000000}"/>
    <cellStyle name="60% - Énfasis1 4" xfId="148" xr:uid="{00000000-0005-0000-0000-00008F000000}"/>
    <cellStyle name="60% - Énfasis2 2" xfId="149" xr:uid="{00000000-0005-0000-0000-000090000000}"/>
    <cellStyle name="60% - Énfasis2 3" xfId="150" xr:uid="{00000000-0005-0000-0000-000091000000}"/>
    <cellStyle name="60% - Énfasis2 4" xfId="151" xr:uid="{00000000-0005-0000-0000-000092000000}"/>
    <cellStyle name="60% - Énfasis3 2" xfId="152" xr:uid="{00000000-0005-0000-0000-000093000000}"/>
    <cellStyle name="60% - Énfasis3 3" xfId="153" xr:uid="{00000000-0005-0000-0000-000094000000}"/>
    <cellStyle name="60% - Énfasis3 4" xfId="154" xr:uid="{00000000-0005-0000-0000-000095000000}"/>
    <cellStyle name="60% - Énfasis4 2" xfId="155" xr:uid="{00000000-0005-0000-0000-000096000000}"/>
    <cellStyle name="60% - Énfasis4 3" xfId="156" xr:uid="{00000000-0005-0000-0000-000097000000}"/>
    <cellStyle name="60% - Énfasis4 4" xfId="157" xr:uid="{00000000-0005-0000-0000-000098000000}"/>
    <cellStyle name="60% - Énfasis5 2" xfId="158" xr:uid="{00000000-0005-0000-0000-000099000000}"/>
    <cellStyle name="60% - Énfasis5 3" xfId="159" xr:uid="{00000000-0005-0000-0000-00009A000000}"/>
    <cellStyle name="60% - Énfasis5 4" xfId="160" xr:uid="{00000000-0005-0000-0000-00009B000000}"/>
    <cellStyle name="60% - Énfasis6 2" xfId="161" xr:uid="{00000000-0005-0000-0000-00009C000000}"/>
    <cellStyle name="60% - Énfasis6 3" xfId="162" xr:uid="{00000000-0005-0000-0000-00009D000000}"/>
    <cellStyle name="60% - Énfasis6 4" xfId="163" xr:uid="{00000000-0005-0000-0000-00009E000000}"/>
    <cellStyle name="a_Divisão" xfId="164" xr:uid="{00000000-0005-0000-0000-00009F000000}"/>
    <cellStyle name="a_normal" xfId="165" xr:uid="{00000000-0005-0000-0000-0000A0000000}"/>
    <cellStyle name="a_normal 2" xfId="166" xr:uid="{00000000-0005-0000-0000-0000A1000000}"/>
    <cellStyle name="a_normal_PYG CemArgos consolidado" xfId="167" xr:uid="{00000000-0005-0000-0000-0000A2000000}"/>
    <cellStyle name="a_quebra_1" xfId="168" xr:uid="{00000000-0005-0000-0000-0000A3000000}"/>
    <cellStyle name="a_quebra_2" xfId="169" xr:uid="{00000000-0005-0000-0000-0000A4000000}"/>
    <cellStyle name="Accent1" xfId="170" xr:uid="{00000000-0005-0000-0000-0000A5000000}"/>
    <cellStyle name="Accent1 2" xfId="171" xr:uid="{00000000-0005-0000-0000-0000A6000000}"/>
    <cellStyle name="Accent1_PYG CemArgos consolidado" xfId="172" xr:uid="{00000000-0005-0000-0000-0000A7000000}"/>
    <cellStyle name="Accent2" xfId="173" xr:uid="{00000000-0005-0000-0000-0000A8000000}"/>
    <cellStyle name="Accent2 2" xfId="174" xr:uid="{00000000-0005-0000-0000-0000A9000000}"/>
    <cellStyle name="Accent2_PYG CemArgos consolidado" xfId="175" xr:uid="{00000000-0005-0000-0000-0000AA000000}"/>
    <cellStyle name="Accent3" xfId="176" xr:uid="{00000000-0005-0000-0000-0000AB000000}"/>
    <cellStyle name="Accent3 2" xfId="177" xr:uid="{00000000-0005-0000-0000-0000AC000000}"/>
    <cellStyle name="Accent3_PYG CemArgos consolidado" xfId="178" xr:uid="{00000000-0005-0000-0000-0000AD000000}"/>
    <cellStyle name="Accent4" xfId="179" xr:uid="{00000000-0005-0000-0000-0000AE000000}"/>
    <cellStyle name="Accent4 2" xfId="180" xr:uid="{00000000-0005-0000-0000-0000AF000000}"/>
    <cellStyle name="Accent4_PYG CemArgos consolidado" xfId="181" xr:uid="{00000000-0005-0000-0000-0000B0000000}"/>
    <cellStyle name="Accent5" xfId="182" xr:uid="{00000000-0005-0000-0000-0000B1000000}"/>
    <cellStyle name="Accent5 2" xfId="183" xr:uid="{00000000-0005-0000-0000-0000B2000000}"/>
    <cellStyle name="Accent5_PYG CemArgos consolidado" xfId="184" xr:uid="{00000000-0005-0000-0000-0000B3000000}"/>
    <cellStyle name="Accent6" xfId="185" xr:uid="{00000000-0005-0000-0000-0000B4000000}"/>
    <cellStyle name="Accent6 2" xfId="186" xr:uid="{00000000-0005-0000-0000-0000B5000000}"/>
    <cellStyle name="Accent6_PYG CemArgos consolidado" xfId="187" xr:uid="{00000000-0005-0000-0000-0000B6000000}"/>
    <cellStyle name="Account" xfId="188" xr:uid="{00000000-0005-0000-0000-0000B7000000}"/>
    <cellStyle name="Account 2" xfId="189" xr:uid="{00000000-0005-0000-0000-0000B8000000}"/>
    <cellStyle name="Acctg" xfId="190" xr:uid="{00000000-0005-0000-0000-0000B9000000}"/>
    <cellStyle name="Acctg$" xfId="191" xr:uid="{00000000-0005-0000-0000-0000BA000000}"/>
    <cellStyle name="Acctg_comps" xfId="192" xr:uid="{00000000-0005-0000-0000-0000BB000000}"/>
    <cellStyle name="Acquisition" xfId="193" xr:uid="{00000000-0005-0000-0000-0000BC000000}"/>
    <cellStyle name="Acquisition 2" xfId="194" xr:uid="{00000000-0005-0000-0000-0000BD000000}"/>
    <cellStyle name="ANCLAS,REZONES Y SUS PARTES,DE FUNDICION,DE HIERRO O DE ACERO" xfId="195" xr:uid="{00000000-0005-0000-0000-0000BE000000}"/>
    <cellStyle name="anos" xfId="196" xr:uid="{00000000-0005-0000-0000-0000BF000000}"/>
    <cellStyle name="axlcolour" xfId="197" xr:uid="{00000000-0005-0000-0000-0000C0000000}"/>
    <cellStyle name="Bad" xfId="198" xr:uid="{00000000-0005-0000-0000-0000C1000000}"/>
    <cellStyle name="Bad 2" xfId="199" xr:uid="{00000000-0005-0000-0000-0000C2000000}"/>
    <cellStyle name="Bad_PYG CemArgos consolidado" xfId="200" xr:uid="{00000000-0005-0000-0000-0000C3000000}"/>
    <cellStyle name="Blue" xfId="201" xr:uid="{00000000-0005-0000-0000-0000C4000000}"/>
    <cellStyle name="blue font" xfId="202" xr:uid="{00000000-0005-0000-0000-0000C5000000}"/>
    <cellStyle name="Border" xfId="203" xr:uid="{00000000-0005-0000-0000-0000C6000000}"/>
    <cellStyle name="Border 2" xfId="1694" xr:uid="{EA936A6E-6BA1-449C-9D35-46743A63D5C3}"/>
    <cellStyle name="Border 3" xfId="2723" xr:uid="{FB6366C6-1E25-437F-80C9-74111E9DAC38}"/>
    <cellStyle name="Border 3 2" xfId="5149" xr:uid="{4750E99D-6F23-42A8-A086-175681762755}"/>
    <cellStyle name="Border 3 2 2" xfId="9717" xr:uid="{B093785C-442F-498B-9DB8-0FFBE0A179AF}"/>
    <cellStyle name="Border 3 3" xfId="7425" xr:uid="{A1A7AFDD-4277-498D-AD10-487B8B81A0AF}"/>
    <cellStyle name="Border 4" xfId="1409" xr:uid="{BFF8FF1E-3A79-44EE-B6A4-52ECE6A337B9}"/>
    <cellStyle name="Bottom Edge" xfId="204" xr:uid="{00000000-0005-0000-0000-0000C7000000}"/>
    <cellStyle name="Buena 2" xfId="205" xr:uid="{00000000-0005-0000-0000-0000C8000000}"/>
    <cellStyle name="Buena 3" xfId="206" xr:uid="{00000000-0005-0000-0000-0000C9000000}"/>
    <cellStyle name="Buena 4" xfId="207" xr:uid="{00000000-0005-0000-0000-0000CA000000}"/>
    <cellStyle name="Calc Currency (0)" xfId="208" xr:uid="{00000000-0005-0000-0000-0000CB000000}"/>
    <cellStyle name="Calculation" xfId="209" xr:uid="{00000000-0005-0000-0000-0000CC000000}"/>
    <cellStyle name="Calculation 2" xfId="210" xr:uid="{00000000-0005-0000-0000-0000CD000000}"/>
    <cellStyle name="Calculation 2 2" xfId="211" xr:uid="{00000000-0005-0000-0000-0000CE000000}"/>
    <cellStyle name="Calculation_PYG CemArgos consolidado" xfId="212" xr:uid="{00000000-0005-0000-0000-0000CF000000}"/>
    <cellStyle name="Cálculo 2" xfId="213" xr:uid="{00000000-0005-0000-0000-0000D0000000}"/>
    <cellStyle name="Cálculo 3" xfId="214" xr:uid="{00000000-0005-0000-0000-0000D1000000}"/>
    <cellStyle name="Cálculo 4" xfId="215" xr:uid="{00000000-0005-0000-0000-0000D2000000}"/>
    <cellStyle name="Cancel" xfId="216" xr:uid="{00000000-0005-0000-0000-0000D3000000}"/>
    <cellStyle name="cárky [0]_BAU" xfId="217" xr:uid="{00000000-0005-0000-0000-0000D4000000}"/>
    <cellStyle name="cárky_BAU" xfId="218" xr:uid="{00000000-0005-0000-0000-0000D5000000}"/>
    <cellStyle name="Celda de comprobación 2" xfId="219" xr:uid="{00000000-0005-0000-0000-0000D6000000}"/>
    <cellStyle name="Celda de comprobación 3" xfId="220" xr:uid="{00000000-0005-0000-0000-0000D7000000}"/>
    <cellStyle name="Celda de comprobación 4" xfId="221" xr:uid="{00000000-0005-0000-0000-0000D8000000}"/>
    <cellStyle name="Celda vinculada 2" xfId="222" xr:uid="{00000000-0005-0000-0000-0000D9000000}"/>
    <cellStyle name="Celda vinculada 3" xfId="223" xr:uid="{00000000-0005-0000-0000-0000DA000000}"/>
    <cellStyle name="Celda vinculada 4" xfId="224" xr:uid="{00000000-0005-0000-0000-0000DB000000}"/>
    <cellStyle name="Cents" xfId="225" xr:uid="{00000000-0005-0000-0000-0000DC000000}"/>
    <cellStyle name="Cents 2" xfId="1695" xr:uid="{6C51A737-6B9C-43B7-898F-053517AF47C6}"/>
    <cellStyle name="Cents 3" xfId="2724" xr:uid="{6C71616F-91A3-4F30-ACDC-24A4B982FB09}"/>
    <cellStyle name="Cents 3 2" xfId="5150" xr:uid="{08224213-E48B-49F8-8F3A-D0A7CE65AD1C}"/>
    <cellStyle name="Cents 3 2 2" xfId="9718" xr:uid="{FAF563E9-9573-471B-B2A7-A83039F6029A}"/>
    <cellStyle name="Cents 3 3" xfId="7426" xr:uid="{9487D835-8F88-439B-B4B6-E02CDA6CDCFA}"/>
    <cellStyle name="Cents 4" xfId="1410" xr:uid="{1AEA8039-A3B8-4BD1-BE38-D60C97C9D4BE}"/>
    <cellStyle name="Check Cell" xfId="226" xr:uid="{00000000-0005-0000-0000-0000DD000000}"/>
    <cellStyle name="Check Cell 2" xfId="227" xr:uid="{00000000-0005-0000-0000-0000DE000000}"/>
    <cellStyle name="Check Cell_PYG CemArgos consolidado" xfId="228" xr:uid="{00000000-0005-0000-0000-0000DF000000}"/>
    <cellStyle name="clsAltData" xfId="229" xr:uid="{00000000-0005-0000-0000-0000E0000000}"/>
    <cellStyle name="Comma [0]_PROCTER295-Renta 2001" xfId="928" xr:uid="{00000000-0005-0000-0000-0000E1000000}"/>
    <cellStyle name="Comma Cents" xfId="230" xr:uid="{00000000-0005-0000-0000-0000E2000000}"/>
    <cellStyle name="Comma_activosfijos2001" xfId="929" xr:uid="{00000000-0005-0000-0000-0000E3000000}"/>
    <cellStyle name="Comma0" xfId="231" xr:uid="{00000000-0005-0000-0000-0000E4000000}"/>
    <cellStyle name="Company Name_Worksheet in J: MARKETING Templates D&amp;T Templates Noviembre 2002 Informe Modelo" xfId="232" xr:uid="{00000000-0005-0000-0000-0000E5000000}"/>
    <cellStyle name="computed cell" xfId="233" xr:uid="{00000000-0005-0000-0000-0000E6000000}"/>
    <cellStyle name="computed cell 2" xfId="234" xr:uid="{00000000-0005-0000-0000-0000E7000000}"/>
    <cellStyle name="Currency--" xfId="235" xr:uid="{00000000-0005-0000-0000-0000E8000000}"/>
    <cellStyle name="Currency [1]" xfId="236" xr:uid="{00000000-0005-0000-0000-0000E9000000}"/>
    <cellStyle name="Currency [1] 2" xfId="237" xr:uid="{00000000-0005-0000-0000-0000EA000000}"/>
    <cellStyle name="Currency [2]" xfId="238" xr:uid="{00000000-0005-0000-0000-0000EB000000}"/>
    <cellStyle name="Currency [2] 2" xfId="1696" xr:uid="{5BF6C49C-A527-411E-BCF9-1AF08FADD150}"/>
    <cellStyle name="Currency [2] 3" xfId="2725" xr:uid="{9DFB46AD-1A16-440F-BB2A-8A5F2184118A}"/>
    <cellStyle name="Currency [2] 3 2" xfId="5151" xr:uid="{C5C1C005-0B7D-44E4-ADA8-82F0313E5891}"/>
    <cellStyle name="Currency [2] 3 2 2" xfId="9719" xr:uid="{B39F1DBC-6DEC-4EFA-AC3A-5B7688133F56}"/>
    <cellStyle name="Currency [2] 3 3" xfId="7427" xr:uid="{D63F7358-8A4E-4940-BB7E-6AFCC7AC377F}"/>
    <cellStyle name="Currency [2] 4" xfId="1411" xr:uid="{67BA3FCA-8512-4398-8DF0-C6EE3BFE3D8D}"/>
    <cellStyle name="Currency_Balance Pago de Impuestos Año 2005  CI RJ" xfId="930" xr:uid="{00000000-0005-0000-0000-0000EC000000}"/>
    <cellStyle name="Currency0" xfId="239" xr:uid="{00000000-0005-0000-0000-0000ED000000}"/>
    <cellStyle name="Date" xfId="240" xr:uid="{00000000-0005-0000-0000-0000EE000000}"/>
    <cellStyle name="Date &amp; Time" xfId="241" xr:uid="{00000000-0005-0000-0000-0000EF000000}"/>
    <cellStyle name="Date [d-mmm-yy]" xfId="242" xr:uid="{00000000-0005-0000-0000-0000F0000000}"/>
    <cellStyle name="Date [mm-d-yy]" xfId="243" xr:uid="{00000000-0005-0000-0000-0000F1000000}"/>
    <cellStyle name="Date [mm-d-yyyy]" xfId="244" xr:uid="{00000000-0005-0000-0000-0000F2000000}"/>
    <cellStyle name="Date [mmm-d-yyyy]" xfId="245" xr:uid="{00000000-0005-0000-0000-0000F3000000}"/>
    <cellStyle name="Date [mmm-yy]" xfId="246" xr:uid="{00000000-0005-0000-0000-0000F4000000}"/>
    <cellStyle name="Date [mmm-yyyy]" xfId="247" xr:uid="{00000000-0005-0000-0000-0000F5000000}"/>
    <cellStyle name="Date_campo_grande5" xfId="248" xr:uid="{00000000-0005-0000-0000-0000F6000000}"/>
    <cellStyle name="Date2" xfId="249" xr:uid="{00000000-0005-0000-0000-0000F7000000}"/>
    <cellStyle name="Date2h" xfId="250" xr:uid="{00000000-0005-0000-0000-0000F8000000}"/>
    <cellStyle name="Dezimal [0]_2CEMENT" xfId="251" xr:uid="{00000000-0005-0000-0000-0000F9000000}"/>
    <cellStyle name="Dezimal[0]" xfId="252" xr:uid="{00000000-0005-0000-0000-0000FA000000}"/>
    <cellStyle name="Dezimal_2CEMENT" xfId="253" xr:uid="{00000000-0005-0000-0000-0000FB000000}"/>
    <cellStyle name="dollars" xfId="254" xr:uid="{00000000-0005-0000-0000-0000FC000000}"/>
    <cellStyle name="dollars 2" xfId="255" xr:uid="{00000000-0005-0000-0000-0000FD000000}"/>
    <cellStyle name="dollars 2 2" xfId="1698" xr:uid="{3AE91674-0328-402C-B3CB-6F550A46B99A}"/>
    <cellStyle name="dollars 2 3" xfId="2727" xr:uid="{762DB9E1-85A2-4423-BDB4-AA6BDD589CF4}"/>
    <cellStyle name="dollars 2 3 2" xfId="5153" xr:uid="{C050F964-950E-45C6-9291-80999AB937CE}"/>
    <cellStyle name="dollars 2 3 2 2" xfId="9721" xr:uid="{26BF9986-5071-43C3-8AB1-E72AB3DF2A6C}"/>
    <cellStyle name="dollars 2 3 3" xfId="7429" xr:uid="{DA9AFAA7-73E4-42DF-B100-38161906C2F7}"/>
    <cellStyle name="dollars 2 4" xfId="1413" xr:uid="{184C1D77-F153-4524-8A47-C21630186F5C}"/>
    <cellStyle name="dollars 3" xfId="1697" xr:uid="{D53B07AA-4A22-4D0D-B815-EBB1C16CAB6B}"/>
    <cellStyle name="dollars 4" xfId="2726" xr:uid="{78CE7540-C6D5-4723-80F2-597C977F1F7E}"/>
    <cellStyle name="dollars 4 2" xfId="5152" xr:uid="{31354A94-FEDB-433D-A1CC-53E0907EE4C8}"/>
    <cellStyle name="dollars 4 2 2" xfId="9720" xr:uid="{F36230C2-D97C-41E8-AD63-44E54CFB50FF}"/>
    <cellStyle name="dollars 4 3" xfId="7428" xr:uid="{454906C8-A56E-4CFA-ABFE-5FD56A33033D}"/>
    <cellStyle name="dollars 5" xfId="1412" xr:uid="{8F410C02-DF74-4C2A-865D-83FFAA79D882}"/>
    <cellStyle name="Encabezado 4 2" xfId="256" xr:uid="{00000000-0005-0000-0000-0000FE000000}"/>
    <cellStyle name="Encabezado 4 3" xfId="257" xr:uid="{00000000-0005-0000-0000-0000FF000000}"/>
    <cellStyle name="Encabezado 4 4" xfId="258" xr:uid="{00000000-0005-0000-0000-000000010000}"/>
    <cellStyle name="Énfasis1 2" xfId="259" xr:uid="{00000000-0005-0000-0000-000001010000}"/>
    <cellStyle name="Énfasis1 3" xfId="260" xr:uid="{00000000-0005-0000-0000-000002010000}"/>
    <cellStyle name="Énfasis1 4" xfId="261" xr:uid="{00000000-0005-0000-0000-000003010000}"/>
    <cellStyle name="Énfasis2 2" xfId="262" xr:uid="{00000000-0005-0000-0000-000004010000}"/>
    <cellStyle name="Énfasis2 3" xfId="263" xr:uid="{00000000-0005-0000-0000-000005010000}"/>
    <cellStyle name="Énfasis2 4" xfId="264" xr:uid="{00000000-0005-0000-0000-000006010000}"/>
    <cellStyle name="Énfasis3 2" xfId="265" xr:uid="{00000000-0005-0000-0000-000007010000}"/>
    <cellStyle name="Énfasis3 3" xfId="266" xr:uid="{00000000-0005-0000-0000-000008010000}"/>
    <cellStyle name="Énfasis3 4" xfId="267" xr:uid="{00000000-0005-0000-0000-000009010000}"/>
    <cellStyle name="Énfasis4 2" xfId="268" xr:uid="{00000000-0005-0000-0000-00000A010000}"/>
    <cellStyle name="Énfasis4 3" xfId="269" xr:uid="{00000000-0005-0000-0000-00000B010000}"/>
    <cellStyle name="Énfasis4 4" xfId="270" xr:uid="{00000000-0005-0000-0000-00000C010000}"/>
    <cellStyle name="Énfasis5 2" xfId="271" xr:uid="{00000000-0005-0000-0000-00000D010000}"/>
    <cellStyle name="Énfasis5 3" xfId="272" xr:uid="{00000000-0005-0000-0000-00000E010000}"/>
    <cellStyle name="Énfasis5 4" xfId="273" xr:uid="{00000000-0005-0000-0000-00000F010000}"/>
    <cellStyle name="Énfasis6 2" xfId="274" xr:uid="{00000000-0005-0000-0000-000010010000}"/>
    <cellStyle name="Énfasis6 3" xfId="275" xr:uid="{00000000-0005-0000-0000-000011010000}"/>
    <cellStyle name="Énfasis6 4" xfId="276" xr:uid="{00000000-0005-0000-0000-000012010000}"/>
    <cellStyle name="En-tête 1" xfId="277" xr:uid="{00000000-0005-0000-0000-000013010000}"/>
    <cellStyle name="En-tête 2" xfId="278" xr:uid="{00000000-0005-0000-0000-000014010000}"/>
    <cellStyle name="Entrada 2" xfId="279" xr:uid="{00000000-0005-0000-0000-000015010000}"/>
    <cellStyle name="Entrada 3" xfId="280" xr:uid="{00000000-0005-0000-0000-000016010000}"/>
    <cellStyle name="Entrada 4" xfId="281" xr:uid="{00000000-0005-0000-0000-000017010000}"/>
    <cellStyle name="EPMLargeKeyFigure" xfId="919" xr:uid="{00000000-0005-0000-0000-000018010000}"/>
    <cellStyle name="Estilo 1" xfId="931" xr:uid="{00000000-0005-0000-0000-000019010000}"/>
    <cellStyle name="Estilo 2" xfId="932" xr:uid="{00000000-0005-0000-0000-00001A010000}"/>
    <cellStyle name="Estilo 3" xfId="933" xr:uid="{00000000-0005-0000-0000-00001B010000}"/>
    <cellStyle name="Estilo 4" xfId="934" xr:uid="{00000000-0005-0000-0000-00001C010000}"/>
    <cellStyle name="Euro" xfId="282" xr:uid="{00000000-0005-0000-0000-00001D010000}"/>
    <cellStyle name="Euro 2" xfId="283" xr:uid="{00000000-0005-0000-0000-00001E010000}"/>
    <cellStyle name="Euro 3" xfId="2044" xr:uid="{2BBE3A43-6398-4D02-BAD8-00ABFE36091F}"/>
    <cellStyle name="Euro 3 2" xfId="3697" xr:uid="{A2EA3F70-8F0D-4861-89C4-4A4227ED2446}"/>
    <cellStyle name="Euro 4" xfId="3576" xr:uid="{C4F0A0E7-F022-427F-90C0-516732154DAD}"/>
    <cellStyle name="Explanatory Text" xfId="284" xr:uid="{00000000-0005-0000-0000-00001F010000}"/>
    <cellStyle name="Explanatory Text 2" xfId="285" xr:uid="{00000000-0005-0000-0000-000020010000}"/>
    <cellStyle name="Explanatory Text_PYG CemArgos consolidado" xfId="286" xr:uid="{00000000-0005-0000-0000-000021010000}"/>
    <cellStyle name="Ezres [0]_Inhalt " xfId="287" xr:uid="{00000000-0005-0000-0000-000022010000}"/>
    <cellStyle name="Ezres_Inhalt " xfId="288" xr:uid="{00000000-0005-0000-0000-000023010000}"/>
    <cellStyle name="F2" xfId="289" xr:uid="{00000000-0005-0000-0000-000024010000}"/>
    <cellStyle name="F3" xfId="290" xr:uid="{00000000-0005-0000-0000-000025010000}"/>
    <cellStyle name="F4" xfId="291" xr:uid="{00000000-0005-0000-0000-000026010000}"/>
    <cellStyle name="F5" xfId="292" xr:uid="{00000000-0005-0000-0000-000027010000}"/>
    <cellStyle name="F6" xfId="293" xr:uid="{00000000-0005-0000-0000-000028010000}"/>
    <cellStyle name="F7" xfId="294" xr:uid="{00000000-0005-0000-0000-000029010000}"/>
    <cellStyle name="F8" xfId="295" xr:uid="{00000000-0005-0000-0000-00002A010000}"/>
    <cellStyle name="fecha" xfId="935" xr:uid="{00000000-0005-0000-0000-00002B010000}"/>
    <cellStyle name="Financier0" xfId="296" xr:uid="{00000000-0005-0000-0000-00002C010000}"/>
    <cellStyle name="Fixed" xfId="297" xr:uid="{00000000-0005-0000-0000-00002D010000}"/>
    <cellStyle name="Fixed [0]" xfId="298" xr:uid="{00000000-0005-0000-0000-00002E010000}"/>
    <cellStyle name="Followed Hyperlink" xfId="299" xr:uid="{00000000-0005-0000-0000-00002F010000}"/>
    <cellStyle name="GMRRatio" xfId="300" xr:uid="{00000000-0005-0000-0000-000030010000}"/>
    <cellStyle name="GMRRatio 2" xfId="301" xr:uid="{00000000-0005-0000-0000-000031010000}"/>
    <cellStyle name="GMRRepCur" xfId="302" xr:uid="{00000000-0005-0000-0000-000032010000}"/>
    <cellStyle name="GMRRepCur 2" xfId="303" xr:uid="{00000000-0005-0000-0000-000033010000}"/>
    <cellStyle name="Good" xfId="304" xr:uid="{00000000-0005-0000-0000-000034010000}"/>
    <cellStyle name="Good 2" xfId="305" xr:uid="{00000000-0005-0000-0000-000035010000}"/>
    <cellStyle name="Good_PYG CemArgos consolidado" xfId="306" xr:uid="{00000000-0005-0000-0000-000036010000}"/>
    <cellStyle name="Grey" xfId="307" xr:uid="{00000000-0005-0000-0000-000037010000}"/>
    <cellStyle name="Grey 2" xfId="308" xr:uid="{00000000-0005-0000-0000-000038010000}"/>
    <cellStyle name="Header1" xfId="309" xr:uid="{00000000-0005-0000-0000-000039010000}"/>
    <cellStyle name="Header-1-1" xfId="310" xr:uid="{00000000-0005-0000-0000-00003A010000}"/>
    <cellStyle name="Header2" xfId="311" xr:uid="{00000000-0005-0000-0000-00003B010000}"/>
    <cellStyle name="Header-2" xfId="312" xr:uid="{00000000-0005-0000-0000-00003C010000}"/>
    <cellStyle name="Header2_gráfico Ingresos por regiones  V2 Real - Jun_10" xfId="313" xr:uid="{00000000-0005-0000-0000-00003D010000}"/>
    <cellStyle name="Header-3" xfId="314" xr:uid="{00000000-0005-0000-0000-00003E010000}"/>
    <cellStyle name="Heading" xfId="315" xr:uid="{00000000-0005-0000-0000-00003F010000}"/>
    <cellStyle name="Heading 1" xfId="316" xr:uid="{00000000-0005-0000-0000-000040010000}"/>
    <cellStyle name="Heading 1 2" xfId="317" xr:uid="{00000000-0005-0000-0000-000041010000}"/>
    <cellStyle name="Heading 1_PYG CemArgos consolidado" xfId="318" xr:uid="{00000000-0005-0000-0000-000042010000}"/>
    <cellStyle name="Heading 2" xfId="319" xr:uid="{00000000-0005-0000-0000-000043010000}"/>
    <cellStyle name="Heading 2 2" xfId="320" xr:uid="{00000000-0005-0000-0000-000044010000}"/>
    <cellStyle name="Heading 2_PYG CemArgos consolidado" xfId="321" xr:uid="{00000000-0005-0000-0000-000045010000}"/>
    <cellStyle name="Heading 3" xfId="322" xr:uid="{00000000-0005-0000-0000-000046010000}"/>
    <cellStyle name="Heading 3 2" xfId="323" xr:uid="{00000000-0005-0000-0000-000047010000}"/>
    <cellStyle name="Heading 3_PYG CemArgos consolidado" xfId="324" xr:uid="{00000000-0005-0000-0000-000048010000}"/>
    <cellStyle name="Heading 4" xfId="325" xr:uid="{00000000-0005-0000-0000-000049010000}"/>
    <cellStyle name="Heading 4 2" xfId="326" xr:uid="{00000000-0005-0000-0000-00004A010000}"/>
    <cellStyle name="Heading 4_PYG CemArgos consolidado" xfId="327" xr:uid="{00000000-0005-0000-0000-00004B010000}"/>
    <cellStyle name="Heading No Underline_Worksheet in J: MARKETING Templates D&amp;T Templates Noviembre 2002 Informe Modelo" xfId="328" xr:uid="{00000000-0005-0000-0000-00004C010000}"/>
    <cellStyle name="Heading With Underline_Worksheet in J: MARKETING Templates D&amp;T Templates Noviembre 2002 Informe Modelo" xfId="329" xr:uid="{00000000-0005-0000-0000-00004D010000}"/>
    <cellStyle name="hidden" xfId="330" xr:uid="{00000000-0005-0000-0000-00004E010000}"/>
    <cellStyle name="hidden 2" xfId="331" xr:uid="{00000000-0005-0000-0000-00004F010000}"/>
    <cellStyle name="Historical" xfId="332" xr:uid="{00000000-0005-0000-0000-000050010000}"/>
    <cellStyle name="HMRCalculated" xfId="333" xr:uid="{00000000-0005-0000-0000-000051010000}"/>
    <cellStyle name="HMRInput" xfId="334" xr:uid="{00000000-0005-0000-0000-000052010000}"/>
    <cellStyle name="Hyperlink" xfId="335" xr:uid="{00000000-0005-0000-0000-000053010000}"/>
    <cellStyle name="Incorrecto 2" xfId="336" xr:uid="{00000000-0005-0000-0000-000054010000}"/>
    <cellStyle name="Incorrecto 3" xfId="337" xr:uid="{00000000-0005-0000-0000-000055010000}"/>
    <cellStyle name="Incorrecto 4" xfId="338" xr:uid="{00000000-0005-0000-0000-000056010000}"/>
    <cellStyle name="Info Cell" xfId="339" xr:uid="{00000000-0005-0000-0000-000057010000}"/>
    <cellStyle name="Information" xfId="340" xr:uid="{00000000-0005-0000-0000-000058010000}"/>
    <cellStyle name="Input" xfId="341" xr:uid="{00000000-0005-0000-0000-000059010000}"/>
    <cellStyle name="Input [yellow]" xfId="342" xr:uid="{00000000-0005-0000-0000-00005A010000}"/>
    <cellStyle name="Input [yellow] 2" xfId="343" xr:uid="{00000000-0005-0000-0000-00005B010000}"/>
    <cellStyle name="Input 2" xfId="344" xr:uid="{00000000-0005-0000-0000-00005C010000}"/>
    <cellStyle name="Input Currency" xfId="345" xr:uid="{00000000-0005-0000-0000-00005D010000}"/>
    <cellStyle name="Input Currency 2" xfId="346" xr:uid="{00000000-0005-0000-0000-00005E010000}"/>
    <cellStyle name="Input Currency 2 2" xfId="1700" xr:uid="{4D229BD9-6AD2-4686-83AC-E64FD453CA83}"/>
    <cellStyle name="Input Currency 2 3" xfId="2729" xr:uid="{E52EF1EF-5EDC-47A3-A275-F1E74B71F660}"/>
    <cellStyle name="Input Currency 2 3 2" xfId="5155" xr:uid="{EF4EA5CA-97B3-4C43-A622-68915A53C938}"/>
    <cellStyle name="Input Currency 2 3 2 2" xfId="9723" xr:uid="{5C1C0D9C-2D6D-478B-BDBB-4E973797B0BE}"/>
    <cellStyle name="Input Currency 2 3 3" xfId="7431" xr:uid="{F836BB55-BD66-4A0E-8C90-E339899C1337}"/>
    <cellStyle name="Input Currency 2 4" xfId="1415" xr:uid="{083A31CF-4A5D-432A-93C9-DED508492B48}"/>
    <cellStyle name="Input Currency 3" xfId="1699" xr:uid="{DEED1845-2761-4928-8E5E-36B7B477042E}"/>
    <cellStyle name="Input Currency 4" xfId="2728" xr:uid="{0C4D72E5-7062-4AB8-90F8-2A3DCAFE4D2B}"/>
    <cellStyle name="Input Currency 4 2" xfId="5154" xr:uid="{B5665384-877C-4B91-A8BE-4A7F7CEA1300}"/>
    <cellStyle name="Input Currency 4 2 2" xfId="9722" xr:uid="{E11F2148-A980-46A9-B095-F4BC87E251BE}"/>
    <cellStyle name="Input Currency 4 3" xfId="7430" xr:uid="{256ABFC5-67DB-4712-951F-6DB43892768F}"/>
    <cellStyle name="Input Currency 5" xfId="1414" xr:uid="{E585B20B-6401-41A7-8383-9FB8B9B83CE9}"/>
    <cellStyle name="Input Date" xfId="347" xr:uid="{00000000-0005-0000-0000-00005F010000}"/>
    <cellStyle name="Input Fixed [0]" xfId="348" xr:uid="{00000000-0005-0000-0000-000060010000}"/>
    <cellStyle name="Input Normal" xfId="349" xr:uid="{00000000-0005-0000-0000-000061010000}"/>
    <cellStyle name="input override" xfId="350" xr:uid="{00000000-0005-0000-0000-000062010000}"/>
    <cellStyle name="Input Percent" xfId="351" xr:uid="{00000000-0005-0000-0000-000063010000}"/>
    <cellStyle name="Input Percent [2]" xfId="352" xr:uid="{00000000-0005-0000-0000-000064010000}"/>
    <cellStyle name="Input Percent [2] 2" xfId="353" xr:uid="{00000000-0005-0000-0000-000065010000}"/>
    <cellStyle name="Input Percent_~2144771" xfId="354" xr:uid="{00000000-0005-0000-0000-000066010000}"/>
    <cellStyle name="Input Titles" xfId="355" xr:uid="{00000000-0005-0000-0000-000067010000}"/>
    <cellStyle name="input_Balance Sheet" xfId="356" xr:uid="{00000000-0005-0000-0000-000068010000}"/>
    <cellStyle name="InputCell" xfId="357" xr:uid="{00000000-0005-0000-0000-000069010000}"/>
    <cellStyle name="Input-Number-1" xfId="358" xr:uid="{00000000-0005-0000-0000-00006A010000}"/>
    <cellStyle name="Input-Percent-1" xfId="359" xr:uid="{00000000-0005-0000-0000-00006B010000}"/>
    <cellStyle name="Latest Estimate" xfId="360" xr:uid="{00000000-0005-0000-0000-00006C010000}"/>
    <cellStyle name="Lien hypertexte" xfId="361" xr:uid="{00000000-0005-0000-0000-00006D010000}"/>
    <cellStyle name="Lien hypertexte visité" xfId="362" xr:uid="{00000000-0005-0000-0000-00006E010000}"/>
    <cellStyle name="Lien hypertexte_GRAFICAS CONSOLIDADAS" xfId="923" xr:uid="{00000000-0005-0000-0000-00006F010000}"/>
    <cellStyle name="Line" xfId="363" xr:uid="{00000000-0005-0000-0000-000070010000}"/>
    <cellStyle name="Line-Item-1" xfId="364" xr:uid="{00000000-0005-0000-0000-000071010000}"/>
    <cellStyle name="Line-Item-1 2" xfId="365" xr:uid="{00000000-0005-0000-0000-000072010000}"/>
    <cellStyle name="Line-Item-2" xfId="366" xr:uid="{00000000-0005-0000-0000-000073010000}"/>
    <cellStyle name="Line-Item-2 2" xfId="367" xr:uid="{00000000-0005-0000-0000-000074010000}"/>
    <cellStyle name="Line-Item-Blank" xfId="368" xr:uid="{00000000-0005-0000-0000-000075010000}"/>
    <cellStyle name="Line-Item-Blank 2" xfId="369" xr:uid="{00000000-0005-0000-0000-000076010000}"/>
    <cellStyle name="Linked Cell" xfId="370" xr:uid="{00000000-0005-0000-0000-000077010000}"/>
    <cellStyle name="Linked Cell 2" xfId="371" xr:uid="{00000000-0005-0000-0000-000078010000}"/>
    <cellStyle name="Linked Cell_PYG CemArgos consolidado" xfId="372" xr:uid="{00000000-0005-0000-0000-000079010000}"/>
    <cellStyle name="locked" xfId="373" xr:uid="{00000000-0005-0000-0000-00007A010000}"/>
    <cellStyle name="locked 2" xfId="374" xr:uid="{00000000-0005-0000-0000-00007B010000}"/>
    <cellStyle name="m/d/yy" xfId="375" xr:uid="{00000000-0005-0000-0000-00007C010000}"/>
    <cellStyle name="macroname" xfId="936" xr:uid="{00000000-0005-0000-0000-00007D010000}"/>
    <cellStyle name="meny_BAU" xfId="376" xr:uid="{00000000-0005-0000-0000-00007E010000}"/>
    <cellStyle name="Migliaia (0)_1320 NX" xfId="377" xr:uid="{00000000-0005-0000-0000-00007F010000}"/>
    <cellStyle name="Migliaia_1320 NX" xfId="378" xr:uid="{00000000-0005-0000-0000-000080010000}"/>
    <cellStyle name="Millares" xfId="922" builtinId="3"/>
    <cellStyle name="Millares [0]" xfId="1260" builtinId="6"/>
    <cellStyle name="Millares [0] 10" xfId="1279" xr:uid="{B59D2DEA-AC8E-4A88-9DEB-1B2AC63F9C7A}"/>
    <cellStyle name="Millares [0] 10 2" xfId="6278" xr:uid="{E4E15EF7-8990-4712-BFBC-B73D9BBEFFC9}"/>
    <cellStyle name="Millares [0] 10 2 2" xfId="10846" xr:uid="{A77B21A8-5FEB-4F6E-9A90-3331F8FE159A}"/>
    <cellStyle name="Millares [0] 10 3" xfId="8554" xr:uid="{5033278C-45FC-4DE3-B163-CFFEC3B6D984}"/>
    <cellStyle name="Millares [0] 10 4" xfId="3984" xr:uid="{35A28C89-E7BD-4F0B-97D2-4E32B67C3157}"/>
    <cellStyle name="Millares [0] 11" xfId="1303" xr:uid="{40B1A15E-FFA9-4A45-A88A-63DF4F759306}"/>
    <cellStyle name="Millares [0] 11 2" xfId="6283" xr:uid="{9F383587-419D-46AE-B161-0544E3204462}"/>
    <cellStyle name="Millares [0] 11 2 2" xfId="10851" xr:uid="{54CDB74F-BA4C-4F19-B9D2-7DAEF0AC1451}"/>
    <cellStyle name="Millares [0] 11 3" xfId="8559" xr:uid="{938BE922-D177-47CF-A9E3-8D5E2128801E}"/>
    <cellStyle name="Millares [0] 11 4" xfId="3989" xr:uid="{5DD5674D-8F00-4BA7-8CB2-F92B12F43C2A}"/>
    <cellStyle name="Millares [0] 12" xfId="1308" xr:uid="{C2DBF58A-464A-4AB4-A46E-DC3E59A0EA65}"/>
    <cellStyle name="Millares [0] 12 2" xfId="6288" xr:uid="{2CD148A5-0D16-499F-A276-4D583140BD11}"/>
    <cellStyle name="Millares [0] 12 2 2" xfId="10856" xr:uid="{FAE8D4FB-1555-43F6-B50C-777D7497819A}"/>
    <cellStyle name="Millares [0] 12 3" xfId="8564" xr:uid="{568A2BAB-074D-494A-A728-79822467A959}"/>
    <cellStyle name="Millares [0] 12 4" xfId="3994" xr:uid="{8B60D3DE-168A-4A5E-A29C-D1D7F92DF666}"/>
    <cellStyle name="Millares [0] 13" xfId="1328" xr:uid="{D3408C7E-5E55-4CD8-A0F5-8AF47ED015B1}"/>
    <cellStyle name="Millares [0] 13 2" xfId="6295" xr:uid="{C8FBBECF-1049-4F91-834E-C3277D33513A}"/>
    <cellStyle name="Millares [0] 13 2 2" xfId="10863" xr:uid="{8FDAC4BC-090B-479F-A821-A90CABF022DE}"/>
    <cellStyle name="Millares [0] 13 3" xfId="8571" xr:uid="{DB7DE928-43FA-4985-864A-31F781562F27}"/>
    <cellStyle name="Millares [0] 13 4" xfId="4001" xr:uid="{A3A31E92-E977-4E5E-B570-DB73C822F1F7}"/>
    <cellStyle name="Millares [0] 14" xfId="1264" xr:uid="{C59AB2E5-F875-4647-8B29-87486ED1C607}"/>
    <cellStyle name="Millares [0] 14 2" xfId="6300" xr:uid="{1E4969EF-EFDD-47BD-A620-A6311F984DA2}"/>
    <cellStyle name="Millares [0] 14 2 2" xfId="10868" xr:uid="{8BFE3864-365B-4B11-91EF-B8321BEE0046}"/>
    <cellStyle name="Millares [0] 14 3" xfId="8576" xr:uid="{9B6ABFD3-DBA7-4957-9E30-B174F11CFAB6}"/>
    <cellStyle name="Millares [0] 14 4" xfId="4006" xr:uid="{DC8651FD-35E1-4BD8-8AA9-FFB5B7795AA9}"/>
    <cellStyle name="Millares [0] 15" xfId="5008" xr:uid="{1E446C66-3A32-45BE-AFF1-EE02D73DDA0E}"/>
    <cellStyle name="Millares [0] 15 2" xfId="9576" xr:uid="{6CE6C2FB-8D1E-4D7A-87A5-B52BD221259D}"/>
    <cellStyle name="Millares [0] 16" xfId="1336" xr:uid="{21AABB06-0F26-4AFB-907C-289C0A7EA29D}"/>
    <cellStyle name="Millares [0] 16 2" xfId="10875" xr:uid="{BF61E2E4-6F37-442A-8844-0398E72022D2}"/>
    <cellStyle name="Millares [0] 16 3" xfId="6307" xr:uid="{BB5E0991-7B49-44E9-B0AF-38D2FE7526F9}"/>
    <cellStyle name="Millares [0] 17" xfId="1340" xr:uid="{B1035359-05C6-40B1-ABBD-BCC2CF35A4C8}"/>
    <cellStyle name="Millares [0] 17 2" xfId="10880" xr:uid="{92431BE3-D784-4C71-BB68-DA7C7898E82A}"/>
    <cellStyle name="Millares [0] 17 3" xfId="6312" xr:uid="{79CBCB17-FB1D-4199-B8B9-16630DA1C7FE}"/>
    <cellStyle name="Millares [0] 18" xfId="6319" xr:uid="{07F2D950-2A26-4DAA-B760-E9B553383AD7}"/>
    <cellStyle name="Millares [0] 18 2" xfId="10887" xr:uid="{990BDAC7-B108-4155-94F0-88BE5C2F1ADB}"/>
    <cellStyle name="Millares [0] 19" xfId="1343" xr:uid="{5B37BC9D-E89A-4521-8B20-CE567D5700B8}"/>
    <cellStyle name="Millares [0] 19 2" xfId="10891" xr:uid="{8AD3B4B4-C34B-4618-89E0-AE52AC92FBCF}"/>
    <cellStyle name="Millares [0] 19 3" xfId="6324" xr:uid="{91700A45-549C-4FD8-8D56-F19FBB8EE848}"/>
    <cellStyle name="Millares [0] 2" xfId="379" xr:uid="{00000000-0005-0000-0000-000082010000}"/>
    <cellStyle name="Millares [0] 20" xfId="1294" xr:uid="{EE36F4C1-BAC5-4183-82EA-FD1E02C713AD}"/>
    <cellStyle name="Millares [0] 20 2" xfId="10895" xr:uid="{EF4636EF-8C63-4190-A393-AE17B3B7D492}"/>
    <cellStyle name="Millares [0] 20 3" xfId="6328" xr:uid="{6C6614F2-25DE-4475-8F2C-0AD187629D63}"/>
    <cellStyle name="Millares [0] 21" xfId="6333" xr:uid="{A7900D67-9AFC-4A0F-8764-FDA2DDFA4C52}"/>
    <cellStyle name="Millares [0] 21 2" xfId="10900" xr:uid="{378C9F81-4A5D-4C58-8A1D-5325F3DB86BF}"/>
    <cellStyle name="Millares [0] 22" xfId="6338" xr:uid="{3C3A9921-401C-41A3-BDB6-02DD49AA1B0E}"/>
    <cellStyle name="Millares [0] 22 2" xfId="10905" xr:uid="{94D4DAC0-8268-4EBE-9C6D-77D1C686C6B1}"/>
    <cellStyle name="Millares [0] 23" xfId="6347" xr:uid="{19DEC515-E988-4D0B-8E4D-F58D680312CE}"/>
    <cellStyle name="Millares [0] 23 2" xfId="10914" xr:uid="{A0CFAEF6-1C16-4363-AC1A-47E7FF58C915}"/>
    <cellStyle name="Millares [0] 24" xfId="6352" xr:uid="{4CC1515A-9484-41A5-BF6A-4AECE5DC919C}"/>
    <cellStyle name="Millares [0] 24 2" xfId="10919" xr:uid="{F37D7D51-20E2-4B38-876A-80B061868323}"/>
    <cellStyle name="Millares [0] 25" xfId="1322" xr:uid="{77A2932A-2354-4CD4-887F-CF30FEACA4C3}"/>
    <cellStyle name="Millares [0] 25 2" xfId="10926" xr:uid="{A87B5194-6665-45E6-BF49-157A49AC2DF4}"/>
    <cellStyle name="Millares [0] 25 3" xfId="6359" xr:uid="{CDEC2BC7-C51A-4ACB-930C-0F0FEE9192C4}"/>
    <cellStyle name="Millares [0] 26" xfId="1346" xr:uid="{F850C148-E304-4C05-B72E-0EBD7C7ED5BA}"/>
    <cellStyle name="Millares [0] 26 2" xfId="7284" xr:uid="{C1B4D444-37BB-4D28-9239-BD95B7DE7311}"/>
    <cellStyle name="Millares [0] 27" xfId="2582" xr:uid="{8FC8057B-54D0-4E42-87CB-B91311BEFD8F}"/>
    <cellStyle name="Millares [0] 3" xfId="380" xr:uid="{00000000-0005-0000-0000-000083010000}"/>
    <cellStyle name="Millares [0] 31" xfId="1358" xr:uid="{71E0D679-552A-4794-ABA9-368F3887401C}"/>
    <cellStyle name="Millares [0] 4" xfId="1148" xr:uid="{00000000-0005-0000-0000-000084010000}"/>
    <cellStyle name="Millares [0] 4 2" xfId="5030" xr:uid="{32816550-34AE-4713-93A4-EE65CAE6F184}"/>
    <cellStyle name="Millares [0] 4 2 2" xfId="9598" xr:uid="{E09F7787-4554-491E-8DF5-A3F4D6BC3E91}"/>
    <cellStyle name="Millares [0] 4 3" xfId="7306" xr:uid="{9C03956E-556E-452F-8853-A7EEB931904B}"/>
    <cellStyle name="Millares [0] 4 4" xfId="2604" xr:uid="{C00F3D9A-BA4B-4C56-8002-B74D815D2112}"/>
    <cellStyle name="Millares [0] 5" xfId="1166" xr:uid="{00000000-0005-0000-0000-000085010000}"/>
    <cellStyle name="Millares [0] 5 2" xfId="1244" xr:uid="{00000000-0005-0000-0000-000086010000}"/>
    <cellStyle name="Millares [0] 5 2 2" xfId="6254" xr:uid="{B7807015-0F83-4A94-8D40-865891943950}"/>
    <cellStyle name="Millares [0] 5 2 2 2" xfId="10822" xr:uid="{FCA5D1AB-729D-4661-B6FB-C143D8B2CE4B}"/>
    <cellStyle name="Millares [0] 5 2 3" xfId="8530" xr:uid="{D4D148D2-8BD8-4286-8697-6CDA26B04912}"/>
    <cellStyle name="Millares [0] 5 2 4" xfId="3960" xr:uid="{DBF6AB30-42C7-4F33-8CAA-61B5D8E15D04}"/>
    <cellStyle name="Millares [0] 5 3" xfId="6247" xr:uid="{4FBB29D5-E8E7-4F87-BF46-2C04A18124E6}"/>
    <cellStyle name="Millares [0] 5 3 2" xfId="10815" xr:uid="{4AE19623-DDC2-4B1B-B597-07E4BEDD44DB}"/>
    <cellStyle name="Millares [0] 5 4" xfId="8523" xr:uid="{CA101563-AB94-4753-95F0-263EB43DF429}"/>
    <cellStyle name="Millares [0] 5 5" xfId="3953" xr:uid="{2BD2545D-ECA2-4C13-95DD-2D50F413A5BF}"/>
    <cellStyle name="Millares [0] 6" xfId="1181" xr:uid="{00000000-0005-0000-0000-000087010000}"/>
    <cellStyle name="Millares [0] 6 2" xfId="6256" xr:uid="{EEED0211-6527-44DE-9720-98AFA596112C}"/>
    <cellStyle name="Millares [0] 6 2 2" xfId="10824" xr:uid="{D54DE371-293B-48C7-9769-50F7D0978D38}"/>
    <cellStyle name="Millares [0] 6 3" xfId="8532" xr:uid="{BE510060-B90B-4C28-8082-6A78F34B9909}"/>
    <cellStyle name="Millares [0] 6 4" xfId="3962" xr:uid="{EBDD59DF-E126-48E5-8427-39588D22CD31}"/>
    <cellStyle name="Millares [0] 7" xfId="1195" xr:uid="{00000000-0005-0000-0000-000088010000}"/>
    <cellStyle name="Millares [0] 7 2" xfId="6263" xr:uid="{2FD1CF18-6151-4F10-A218-7E7B313E7EB7}"/>
    <cellStyle name="Millares [0] 7 2 2" xfId="10831" xr:uid="{DA6584D2-7002-4553-9450-56AC794BF85D}"/>
    <cellStyle name="Millares [0] 7 3" xfId="8539" xr:uid="{9AF64BF1-A34D-4E56-9A9B-09B99519D458}"/>
    <cellStyle name="Millares [0] 7 4" xfId="3969" xr:uid="{D8BA178C-294D-4565-A7DC-FB08AFAD6158}"/>
    <cellStyle name="Millares [0] 8" xfId="1200" xr:uid="{00000000-0005-0000-0000-000089010000}"/>
    <cellStyle name="Millares [0] 8 2" xfId="1246" xr:uid="{00000000-0005-0000-0000-00008A010000}"/>
    <cellStyle name="Millares [0] 8 2 2" xfId="10836" xr:uid="{59220C3D-27B1-4770-AB28-BE65DF08B1C5}"/>
    <cellStyle name="Millares [0] 8 2 3" xfId="6268" xr:uid="{BF21C3B5-29E8-47C4-952B-6861647EAFBF}"/>
    <cellStyle name="Millares [0] 8 3" xfId="8544" xr:uid="{048381F5-D451-4B56-A004-B8347F29A719}"/>
    <cellStyle name="Millares [0] 8 4" xfId="3974" xr:uid="{1647DB31-DB56-4399-B106-5A01430D930B}"/>
    <cellStyle name="Millares [0] 9" xfId="1229" xr:uid="{00000000-0005-0000-0000-00008B010000}"/>
    <cellStyle name="Millares [0] 9 2" xfId="6273" xr:uid="{5B37BFBB-20EA-4E35-BE4F-8C0539E14D39}"/>
    <cellStyle name="Millares [0] 9 2 2" xfId="10841" xr:uid="{94A32613-8823-4D91-B1C8-7B74C994F1E6}"/>
    <cellStyle name="Millares [0] 9 3" xfId="8549" xr:uid="{33A1BFA6-BF1C-4384-AAA6-7890280BAF81}"/>
    <cellStyle name="Millares [0] 9 4" xfId="3979" xr:uid="{02117BC3-85E2-463E-A706-06C4BABAC165}"/>
    <cellStyle name="Millares 10" xfId="381" xr:uid="{00000000-0005-0000-0000-00008C010000}"/>
    <cellStyle name="Millares 10 2" xfId="382" xr:uid="{00000000-0005-0000-0000-00008D010000}"/>
    <cellStyle name="Millares 10 2 2" xfId="383" xr:uid="{00000000-0005-0000-0000-00008E010000}"/>
    <cellStyle name="Millares 10 2 2 2" xfId="1702" xr:uid="{B2DB9A9D-6F7B-45BD-B703-2773F95C6E53}"/>
    <cellStyle name="Millares 10 2 2 3" xfId="2046" xr:uid="{4F502782-885E-4092-897D-F60DAA4D031B}"/>
    <cellStyle name="Millares 10 2 2 3 2" xfId="3699" xr:uid="{1EF8C88F-22F1-4845-B19B-0D2029A54260}"/>
    <cellStyle name="Millares 10 2 2 4" xfId="4059" xr:uid="{A2863CB6-C05C-4FA0-9E9F-4389944C49F8}"/>
    <cellStyle name="Millares 10 2 2 4 2" xfId="8628" xr:uid="{B111CB85-2820-4033-A0CB-D929FD89F7B3}"/>
    <cellStyle name="Millares 10 2 2 5" xfId="1416" xr:uid="{4940B015-6DB6-412D-A042-32D529690E12}"/>
    <cellStyle name="Millares 10 2 3" xfId="1143" xr:uid="{00000000-0005-0000-0000-00008F010000}"/>
    <cellStyle name="Millares 10 2 3 2" xfId="1701" xr:uid="{3D7FD710-124F-4F5A-812A-45C0A06A5D8C}"/>
    <cellStyle name="Millares 10 2 4" xfId="2045" xr:uid="{18E755E8-838E-4371-A6A1-9BA329182D2A}"/>
    <cellStyle name="Millares 10 2 4 2" xfId="3698" xr:uid="{7765306A-F0C9-4514-B075-AB3A381C553C}"/>
    <cellStyle name="Millares 10 2 5" xfId="4058" xr:uid="{16420ACB-2B62-4681-8D32-1D7963651B85}"/>
    <cellStyle name="Millares 10 2 5 2" xfId="8627" xr:uid="{745E6BE0-94A4-4F0D-87AB-0FC8F0E8EBEA}"/>
    <cellStyle name="Millares 10 3" xfId="384" xr:uid="{00000000-0005-0000-0000-000090010000}"/>
    <cellStyle name="Millares 100" xfId="1345" xr:uid="{423B65CC-DCB2-4CE6-907D-8655F390A211}"/>
    <cellStyle name="Millares 103" xfId="1348" xr:uid="{EEE9AB32-D09E-414E-9DC1-C2E48A4E47F2}"/>
    <cellStyle name="Millares 108" xfId="1351" xr:uid="{EF5ACB3E-B1F0-42F1-BE5E-5E95768369B3}"/>
    <cellStyle name="Millares 109" xfId="1353" xr:uid="{E4A90E59-06D5-4560-8258-A0E6B5DA87C6}"/>
    <cellStyle name="Millares 11" xfId="385" xr:uid="{00000000-0005-0000-0000-000091010000}"/>
    <cellStyle name="Millares 11 2" xfId="386" xr:uid="{00000000-0005-0000-0000-000092010000}"/>
    <cellStyle name="Millares 11 2 2" xfId="387" xr:uid="{00000000-0005-0000-0000-000093010000}"/>
    <cellStyle name="Millares 11 2 2 2" xfId="1704" xr:uid="{A178A3DF-8277-48F1-9237-5B0BE72EB3D9}"/>
    <cellStyle name="Millares 11 2 2 3" xfId="2048" xr:uid="{66A4CBFB-C256-43F2-A362-65B4C1D4BEAE}"/>
    <cellStyle name="Millares 11 2 2 3 2" xfId="3701" xr:uid="{6B009B03-6FBF-4745-80CD-CE62FBEEFD34}"/>
    <cellStyle name="Millares 11 2 2 4" xfId="4061" xr:uid="{FE205281-27AE-4FCC-9C2D-293C1D71CACA}"/>
    <cellStyle name="Millares 11 2 2 4 2" xfId="8630" xr:uid="{4F4CE9FC-00DE-4D2B-BCF2-C1A34DAE404E}"/>
    <cellStyle name="Millares 11 2 2 5" xfId="1418" xr:uid="{AE6A32B3-0F4B-471A-8AC1-2ABE55B7F01A}"/>
    <cellStyle name="Millares 11 2 3" xfId="1703" xr:uid="{7DCF52FF-8025-4982-94E9-21D8A4AC3016}"/>
    <cellStyle name="Millares 11 2 4" xfId="2047" xr:uid="{0A2536B3-4791-4597-A690-55842E8E3780}"/>
    <cellStyle name="Millares 11 2 4 2" xfId="3700" xr:uid="{5F790212-B265-4250-8572-C66AD0E8872E}"/>
    <cellStyle name="Millares 11 2 5" xfId="4060" xr:uid="{6BC99736-4113-44D5-BAFE-2A0E4DCDC8C0}"/>
    <cellStyle name="Millares 11 2 5 2" xfId="8629" xr:uid="{D95FA23D-31B5-49CF-B20F-8B7406E0ED01}"/>
    <cellStyle name="Millares 11 2 6" xfId="1417" xr:uid="{B2889A30-A6CD-49EF-A105-A7D9E87F13AF}"/>
    <cellStyle name="Millares 11 3" xfId="388" xr:uid="{00000000-0005-0000-0000-000094010000}"/>
    <cellStyle name="Millares 11 3 2" xfId="389" xr:uid="{00000000-0005-0000-0000-000095010000}"/>
    <cellStyle name="Millares 11 3 2 2" xfId="1706" xr:uid="{5BEF8C7E-7804-4805-AF26-8A918FC3A030}"/>
    <cellStyle name="Millares 11 3 2 3" xfId="2050" xr:uid="{DD4F320B-1F70-413F-BCCA-BE6DB58AE010}"/>
    <cellStyle name="Millares 11 3 2 3 2" xfId="3703" xr:uid="{131F0F32-8845-4E5B-B9F8-D81514EF6FF3}"/>
    <cellStyle name="Millares 11 3 2 4" xfId="4063" xr:uid="{F9D8DB15-A9B1-44B5-94CC-0BB71856DFC4}"/>
    <cellStyle name="Millares 11 3 2 4 2" xfId="8632" xr:uid="{FF15CA8F-1EBC-4770-B251-D343BF3AA545}"/>
    <cellStyle name="Millares 11 3 2 5" xfId="1420" xr:uid="{CF39855C-2320-4BE0-A29A-B6CA07FD67C2}"/>
    <cellStyle name="Millares 11 3 3" xfId="1705" xr:uid="{5754EA55-96AB-4D4B-AD09-55D9F95CE796}"/>
    <cellStyle name="Millares 11 3 4" xfId="2049" xr:uid="{B19BE243-140E-4CC8-8AD5-4497567678E8}"/>
    <cellStyle name="Millares 11 3 4 2" xfId="3702" xr:uid="{5A5421D0-EE8B-44A8-BBF4-C4155430E80D}"/>
    <cellStyle name="Millares 11 3 5" xfId="4062" xr:uid="{39DA864C-2CFF-44D0-BA8B-8E7644655A0A}"/>
    <cellStyle name="Millares 11 3 5 2" xfId="8631" xr:uid="{2BD0428D-1ECB-4EBF-B42F-B239617E2B78}"/>
    <cellStyle name="Millares 11 3 6" xfId="1419" xr:uid="{F8EE593D-E319-4A5B-9E2E-584D8454842C}"/>
    <cellStyle name="Millares 11 4" xfId="390" xr:uid="{00000000-0005-0000-0000-000096010000}"/>
    <cellStyle name="Millares 110" xfId="1355" xr:uid="{7357D03E-3B2B-4FD9-9FA9-7CA172810B60}"/>
    <cellStyle name="Millares 111" xfId="1360" xr:uid="{CA2575B4-9660-4CE6-A021-8898A483FD50}"/>
    <cellStyle name="Millares 112" xfId="1357" xr:uid="{C138961B-DA55-4054-9237-5AE71729CEE1}"/>
    <cellStyle name="Millares 12" xfId="391" xr:uid="{00000000-0005-0000-0000-000097010000}"/>
    <cellStyle name="Millares 12 2" xfId="392" xr:uid="{00000000-0005-0000-0000-000098010000}"/>
    <cellStyle name="Millares 12 2 2" xfId="393" xr:uid="{00000000-0005-0000-0000-000099010000}"/>
    <cellStyle name="Millares 12 2 2 2" xfId="1708" xr:uid="{854C01D5-F1A9-4F01-89F5-70842CFA751B}"/>
    <cellStyle name="Millares 12 2 2 3" xfId="2052" xr:uid="{A230EFD7-1927-4531-876E-84E2D0F0D913}"/>
    <cellStyle name="Millares 12 2 2 3 2" xfId="3705" xr:uid="{898139CE-5930-4FDF-9F1F-9FE190569C29}"/>
    <cellStyle name="Millares 12 2 2 4" xfId="4065" xr:uid="{4BD8E5FF-237E-4AA9-B469-0D991AFAACCD}"/>
    <cellStyle name="Millares 12 2 2 4 2" xfId="8634" xr:uid="{84DB6A73-949E-4AAC-AD65-8507A1692B06}"/>
    <cellStyle name="Millares 12 2 2 5" xfId="1422" xr:uid="{777BAF20-9003-4DA6-B02F-3C6818CA9AC9}"/>
    <cellStyle name="Millares 12 2 3" xfId="1707" xr:uid="{18AAD491-4AA1-4590-976F-CD0939875C18}"/>
    <cellStyle name="Millares 12 2 4" xfId="2051" xr:uid="{9D8B6A4B-E5F0-48B4-8B8A-BD0C067FA04F}"/>
    <cellStyle name="Millares 12 2 4 2" xfId="3704" xr:uid="{437B9C85-40DB-491B-A668-D18A52FE3788}"/>
    <cellStyle name="Millares 12 2 5" xfId="4064" xr:uid="{4E8097B8-C0A3-4A01-9DB9-6B58BFC9B1A3}"/>
    <cellStyle name="Millares 12 2 5 2" xfId="8633" xr:uid="{8D6B9811-2097-4821-A259-84D0297DABE5}"/>
    <cellStyle name="Millares 12 2 6" xfId="1421" xr:uid="{822BE594-27B3-4DF5-9042-B8DA3DE2F180}"/>
    <cellStyle name="Millares 12 3" xfId="394" xr:uid="{00000000-0005-0000-0000-00009A010000}"/>
    <cellStyle name="Millares 13" xfId="395" xr:uid="{00000000-0005-0000-0000-00009B010000}"/>
    <cellStyle name="Millares 13 2" xfId="396" xr:uid="{00000000-0005-0000-0000-00009C010000}"/>
    <cellStyle name="Millares 13 2 2" xfId="397" xr:uid="{00000000-0005-0000-0000-00009D010000}"/>
    <cellStyle name="Millares 13 2 2 2" xfId="1710" xr:uid="{5472D841-8367-47B2-8C3E-5DED01B1DF93}"/>
    <cellStyle name="Millares 13 2 2 3" xfId="2054" xr:uid="{14DD9602-8ACD-45A0-8DDC-D2856650B4BA}"/>
    <cellStyle name="Millares 13 2 2 3 2" xfId="3707" xr:uid="{FBDA3B62-F017-4DE9-A2CA-1C29CC228390}"/>
    <cellStyle name="Millares 13 2 2 4" xfId="4067" xr:uid="{903B34A4-C1C7-40DD-BDAC-A0C042CD6C97}"/>
    <cellStyle name="Millares 13 2 2 4 2" xfId="8636" xr:uid="{D2182E5E-0D70-4D0C-86E3-A563B356E3E5}"/>
    <cellStyle name="Millares 13 2 2 5" xfId="1424" xr:uid="{F9B8617E-9BE4-4325-8E51-069C9F1AEED8}"/>
    <cellStyle name="Millares 13 2 3" xfId="1709" xr:uid="{E151B2B0-E828-4938-89D5-3C9C64C4276D}"/>
    <cellStyle name="Millares 13 2 4" xfId="2053" xr:uid="{920AB5B8-6490-44CB-BD34-8184BE876324}"/>
    <cellStyle name="Millares 13 2 4 2" xfId="3706" xr:uid="{5A56E3BA-C114-404D-AA35-A860919D4916}"/>
    <cellStyle name="Millares 13 2 5" xfId="4066" xr:uid="{3E6DADFC-7550-4680-BDEB-97DC5EB31F28}"/>
    <cellStyle name="Millares 13 2 5 2" xfId="8635" xr:uid="{0F6EE789-7F5A-4287-A52F-436253EB8671}"/>
    <cellStyle name="Millares 13 2 6" xfId="1423" xr:uid="{580E8DC9-DF58-450F-BA60-78107100B21B}"/>
    <cellStyle name="Millares 13 3" xfId="398" xr:uid="{00000000-0005-0000-0000-00009E010000}"/>
    <cellStyle name="Millares 14" xfId="399" xr:uid="{00000000-0005-0000-0000-00009F010000}"/>
    <cellStyle name="Millares 14 2" xfId="400" xr:uid="{00000000-0005-0000-0000-0000A0010000}"/>
    <cellStyle name="Millares 14 2 2" xfId="401" xr:uid="{00000000-0005-0000-0000-0000A1010000}"/>
    <cellStyle name="Millares 14 2 2 2" xfId="1712" xr:uid="{9833B79C-9C53-479A-AC59-464528FA1862}"/>
    <cellStyle name="Millares 14 2 2 3" xfId="2056" xr:uid="{DE30EA20-071E-416C-A80E-3AAC59FC9493}"/>
    <cellStyle name="Millares 14 2 2 3 2" xfId="3709" xr:uid="{192F72EA-8D26-4365-A0AC-A9AA46A25B13}"/>
    <cellStyle name="Millares 14 2 2 4" xfId="4069" xr:uid="{01CD5508-4675-4BEB-A153-D39E1C082575}"/>
    <cellStyle name="Millares 14 2 2 4 2" xfId="8638" xr:uid="{EF0880EA-86B6-4CE2-A408-6483423AFED9}"/>
    <cellStyle name="Millares 14 2 2 5" xfId="1426" xr:uid="{5230914A-5D35-4870-BF85-30DEB1014A66}"/>
    <cellStyle name="Millares 14 2 3" xfId="1711" xr:uid="{8043BBF9-9D83-4261-97C8-8EF5B21E7BB8}"/>
    <cellStyle name="Millares 14 2 4" xfId="2055" xr:uid="{DC0039BF-1FA8-4ECC-822E-E273CE875EE7}"/>
    <cellStyle name="Millares 14 2 4 2" xfId="3708" xr:uid="{151A273D-A2ED-4FCF-AD10-766037B018B4}"/>
    <cellStyle name="Millares 14 2 5" xfId="4068" xr:uid="{65E64FE3-9A2F-4829-B782-7BA32033C91F}"/>
    <cellStyle name="Millares 14 2 5 2" xfId="8637" xr:uid="{D517F796-563A-4CC2-AF0C-A93D76ED0E0C}"/>
    <cellStyle name="Millares 14 2 6" xfId="1425" xr:uid="{763605A4-2485-43E4-91EC-47FBF91AF675}"/>
    <cellStyle name="Millares 14 3" xfId="402" xr:uid="{00000000-0005-0000-0000-0000A2010000}"/>
    <cellStyle name="Millares 15" xfId="403" xr:uid="{00000000-0005-0000-0000-0000A3010000}"/>
    <cellStyle name="Millares 15 2" xfId="404" xr:uid="{00000000-0005-0000-0000-0000A4010000}"/>
    <cellStyle name="Millares 15 2 2" xfId="405" xr:uid="{00000000-0005-0000-0000-0000A5010000}"/>
    <cellStyle name="Millares 15 2 2 2" xfId="1714" xr:uid="{73FDB92B-C6D8-4F09-A42E-AD15E7F17286}"/>
    <cellStyle name="Millares 15 2 2 3" xfId="2059" xr:uid="{0261B0C4-0297-4E6A-A963-B730F4E7C4E6}"/>
    <cellStyle name="Millares 15 2 2 3 2" xfId="3712" xr:uid="{1FEC7C31-903D-4AB3-9B07-9DFECDFEC47E}"/>
    <cellStyle name="Millares 15 2 2 4" xfId="4071" xr:uid="{8728E6D5-5585-4844-8867-A4B4C7592701}"/>
    <cellStyle name="Millares 15 2 2 4 2" xfId="8640" xr:uid="{D004A391-C423-4E51-9DB9-012BBF6502A2}"/>
    <cellStyle name="Millares 15 2 2 5" xfId="1428" xr:uid="{482BF22F-D793-4B1C-BB5F-74AD681D22FB}"/>
    <cellStyle name="Millares 15 2 3" xfId="1713" xr:uid="{87B603E6-70BB-4DAC-892A-2B4AFA1133B7}"/>
    <cellStyle name="Millares 15 2 4" xfId="2058" xr:uid="{F73091F9-38C4-4ACC-8569-CE898AF94594}"/>
    <cellStyle name="Millares 15 2 4 2" xfId="3711" xr:uid="{4A6E26DA-61CD-4AAB-AEC9-391875D8F914}"/>
    <cellStyle name="Millares 15 2 5" xfId="4070" xr:uid="{F584F2B9-DDA2-4EDD-9841-CE8F5CFD8ECA}"/>
    <cellStyle name="Millares 15 2 5 2" xfId="8639" xr:uid="{7E7A2999-EE83-4AE8-9074-B16D4E508305}"/>
    <cellStyle name="Millares 15 2 6" xfId="1427" xr:uid="{CDFA2A2F-CFDB-4E5B-8621-DC87059C5E20}"/>
    <cellStyle name="Millares 15 3" xfId="406" xr:uid="{00000000-0005-0000-0000-0000A6010000}"/>
    <cellStyle name="Millares 15 3 2" xfId="2060" xr:uid="{2194306F-F7EB-4B2B-850B-CB6B81990A4E}"/>
    <cellStyle name="Millares 15 3 2 2" xfId="3713" xr:uid="{8D2C11B3-6C0B-4CD7-970A-0A574A02B504}"/>
    <cellStyle name="Millares 15 3 3" xfId="3578" xr:uid="{15723A2A-6CB1-407B-84B8-D81B9D477530}"/>
    <cellStyle name="Millares 15 4" xfId="2057" xr:uid="{64D885F8-412E-4A30-802B-252F9E246D77}"/>
    <cellStyle name="Millares 15 4 2" xfId="3710" xr:uid="{815206B1-E89A-471D-80CE-1275C5AD577A}"/>
    <cellStyle name="Millares 15 5" xfId="3577" xr:uid="{BCAB6635-9A12-4C02-B02B-9CBD014AEF5F}"/>
    <cellStyle name="Millares 16" xfId="407" xr:uid="{00000000-0005-0000-0000-0000A7010000}"/>
    <cellStyle name="Millares 16 2" xfId="408" xr:uid="{00000000-0005-0000-0000-0000A8010000}"/>
    <cellStyle name="Millares 16 2 2" xfId="409" xr:uid="{00000000-0005-0000-0000-0000A9010000}"/>
    <cellStyle name="Millares 16 2 2 2" xfId="410" xr:uid="{00000000-0005-0000-0000-0000AA010000}"/>
    <cellStyle name="Millares 16 2 2 2 2" xfId="1718" xr:uid="{75E1B2DC-7050-4611-B9CF-107239C0D423}"/>
    <cellStyle name="Millares 16 2 2 2 3" xfId="2064" xr:uid="{41D46182-9FD9-4F5B-988E-CE0160E03C33}"/>
    <cellStyle name="Millares 16 2 2 2 3 2" xfId="3717" xr:uid="{1CB4FC41-DB6F-466F-8362-97A85509B760}"/>
    <cellStyle name="Millares 16 2 2 2 4" xfId="4075" xr:uid="{90436E93-F173-49BE-BB9F-BAC7D958AE61}"/>
    <cellStyle name="Millares 16 2 2 2 4 2" xfId="8644" xr:uid="{97C0454A-E379-4B5E-997C-773A2A5EF43B}"/>
    <cellStyle name="Millares 16 2 2 2 5" xfId="1432" xr:uid="{035AB4A9-5CE6-4FBA-A051-B91D49101944}"/>
    <cellStyle name="Millares 16 2 2 3" xfId="1717" xr:uid="{4CA2FC19-6B0B-4D47-BE76-B14E91ACEBA7}"/>
    <cellStyle name="Millares 16 2 2 4" xfId="2063" xr:uid="{F5E1D055-14D2-4BFC-BA01-8E9CB6502971}"/>
    <cellStyle name="Millares 16 2 2 4 2" xfId="3716" xr:uid="{4FD8BDF4-4393-4908-9343-99D061040471}"/>
    <cellStyle name="Millares 16 2 2 5" xfId="4074" xr:uid="{E74C6D3F-6BD3-4A2C-8015-33762E79368E}"/>
    <cellStyle name="Millares 16 2 2 5 2" xfId="8643" xr:uid="{96CBFD74-F7DA-435B-95BD-2077CBF06FF5}"/>
    <cellStyle name="Millares 16 2 2 6" xfId="1431" xr:uid="{51893F59-B27D-40E3-98DB-2A9CC51B9ACB}"/>
    <cellStyle name="Millares 16 2 3" xfId="411" xr:uid="{00000000-0005-0000-0000-0000AB010000}"/>
    <cellStyle name="Millares 16 2 3 2" xfId="412" xr:uid="{00000000-0005-0000-0000-0000AC010000}"/>
    <cellStyle name="Millares 16 2 3 2 2" xfId="1720" xr:uid="{E1EFBAB9-98FB-44E3-B415-BC9289B0FE4C}"/>
    <cellStyle name="Millares 16 2 3 2 3" xfId="2066" xr:uid="{8284A555-C1A5-48A6-B1CE-1044DCFF509B}"/>
    <cellStyle name="Millares 16 2 3 2 3 2" xfId="3719" xr:uid="{D4DF96F3-9E25-440F-86CE-89D211098D08}"/>
    <cellStyle name="Millares 16 2 3 2 4" xfId="4077" xr:uid="{E1965CDF-16D4-43C6-9151-B6B0AB886F5E}"/>
    <cellStyle name="Millares 16 2 3 2 4 2" xfId="8646" xr:uid="{E0054EAF-4D52-4AD8-A883-73A0FB7B43C3}"/>
    <cellStyle name="Millares 16 2 3 2 5" xfId="1434" xr:uid="{AFCC5AEE-F3A2-46B6-AD7F-B09C6C35B1C6}"/>
    <cellStyle name="Millares 16 2 3 3" xfId="1719" xr:uid="{59BC99BE-6968-409F-964A-D9627FE6A59D}"/>
    <cellStyle name="Millares 16 2 3 4" xfId="2065" xr:uid="{24AEA47F-A9DC-4568-A986-067D0BE1C446}"/>
    <cellStyle name="Millares 16 2 3 4 2" xfId="3718" xr:uid="{F89EF821-2460-48D5-972E-B2AFD06FE605}"/>
    <cellStyle name="Millares 16 2 3 5" xfId="4076" xr:uid="{8B482924-3CAC-459B-A988-E67F7E999369}"/>
    <cellStyle name="Millares 16 2 3 5 2" xfId="8645" xr:uid="{BD23E3EE-E677-43A6-A26E-2DEA62DF26EE}"/>
    <cellStyle name="Millares 16 2 3 6" xfId="1433" xr:uid="{16AE52D6-E663-4C09-916A-94F83DF11D3C}"/>
    <cellStyle name="Millares 16 2 4" xfId="413" xr:uid="{00000000-0005-0000-0000-0000AD010000}"/>
    <cellStyle name="Millares 16 2 4 2" xfId="1721" xr:uid="{72112B42-8CC3-45DE-A20E-4C12E6D2FD71}"/>
    <cellStyle name="Millares 16 2 4 3" xfId="2067" xr:uid="{4C5D08D7-C49F-453D-97A9-FCC744ED615A}"/>
    <cellStyle name="Millares 16 2 4 3 2" xfId="3720" xr:uid="{B7572D6D-79B1-4924-A56D-A51FEC9338C9}"/>
    <cellStyle name="Millares 16 2 4 4" xfId="4078" xr:uid="{8128CBBC-C2BE-4C74-B75D-0DF1A8BD8CE7}"/>
    <cellStyle name="Millares 16 2 4 4 2" xfId="8647" xr:uid="{AF689595-0B68-4E07-AAF0-B90A23303CD5}"/>
    <cellStyle name="Millares 16 2 4 5" xfId="1435" xr:uid="{B92AD203-DC3F-4101-961A-9B294FEF8AE1}"/>
    <cellStyle name="Millares 16 2 5" xfId="1716" xr:uid="{48CFD01B-123F-4D5A-8057-E2AE61420AED}"/>
    <cellStyle name="Millares 16 2 6" xfId="2062" xr:uid="{90C68429-28D6-4B43-A0A9-C377B2E0AB17}"/>
    <cellStyle name="Millares 16 2 6 2" xfId="3715" xr:uid="{308F59ED-0161-419E-8293-D3022643CCBF}"/>
    <cellStyle name="Millares 16 2 7" xfId="4073" xr:uid="{5DCC0A27-9171-48D4-B8C9-1EDA5CA44E45}"/>
    <cellStyle name="Millares 16 2 7 2" xfId="8642" xr:uid="{06BCFDAC-C4F2-4784-8742-5F2A1E4AE016}"/>
    <cellStyle name="Millares 16 2 8" xfId="1430" xr:uid="{C3614D6D-95D3-49A8-B443-CA5A768B93E5}"/>
    <cellStyle name="Millares 16 3" xfId="414" xr:uid="{00000000-0005-0000-0000-0000AE010000}"/>
    <cellStyle name="Millares 16 3 2" xfId="415" xr:uid="{00000000-0005-0000-0000-0000AF010000}"/>
    <cellStyle name="Millares 16 3 2 2" xfId="1723" xr:uid="{B986F24F-6AA2-4FE9-ABEA-5B961115DE4D}"/>
    <cellStyle name="Millares 16 3 2 3" xfId="2069" xr:uid="{44EB4945-D011-4C62-8888-B1797DD28F46}"/>
    <cellStyle name="Millares 16 3 2 3 2" xfId="3722" xr:uid="{B8DA599F-2647-423B-A425-2D179B57D59E}"/>
    <cellStyle name="Millares 16 3 2 4" xfId="4080" xr:uid="{068807C7-1923-4B95-9874-0E6ABE88F92C}"/>
    <cellStyle name="Millares 16 3 2 4 2" xfId="8649" xr:uid="{78078880-660A-4D93-A863-16577511541D}"/>
    <cellStyle name="Millares 16 3 2 5" xfId="1437" xr:uid="{0D843A7B-1666-45AD-9783-CE78916B0D0A}"/>
    <cellStyle name="Millares 16 3 3" xfId="1722" xr:uid="{4228C45D-A42F-4337-8099-9D369E612B53}"/>
    <cellStyle name="Millares 16 3 4" xfId="2068" xr:uid="{FF24F072-A75D-40EA-8B11-F62F93AF8133}"/>
    <cellStyle name="Millares 16 3 4 2" xfId="3721" xr:uid="{3922594D-30C6-4C72-9352-45D8F455B142}"/>
    <cellStyle name="Millares 16 3 5" xfId="4079" xr:uid="{3E5786E9-C35D-4DD5-ADE2-8CF8B47B0F50}"/>
    <cellStyle name="Millares 16 3 5 2" xfId="8648" xr:uid="{34F55591-6424-4EEC-B2D9-3D12C0B43680}"/>
    <cellStyle name="Millares 16 3 6" xfId="1436" xr:uid="{958CCB82-A77F-4337-98A4-E785EDE9757B}"/>
    <cellStyle name="Millares 16 4" xfId="416" xr:uid="{00000000-0005-0000-0000-0000B0010000}"/>
    <cellStyle name="Millares 16 4 2" xfId="1724" xr:uid="{3C828665-119D-4463-A26D-EDD6C4A0A85F}"/>
    <cellStyle name="Millares 16 4 3" xfId="2070" xr:uid="{9322324D-9BF3-4F38-847D-8E7840F6A28B}"/>
    <cellStyle name="Millares 16 4 3 2" xfId="3723" xr:uid="{7D557BD7-9E7B-45C1-AA65-4B96614B950D}"/>
    <cellStyle name="Millares 16 4 4" xfId="4081" xr:uid="{5D983E71-4324-4E8E-AB4F-89C4BFDCB8F6}"/>
    <cellStyle name="Millares 16 4 4 2" xfId="8650" xr:uid="{789D6538-B541-4351-808F-5E8B2A1F4F85}"/>
    <cellStyle name="Millares 16 4 5" xfId="1438" xr:uid="{EC8AE7B7-38A8-4240-86B8-BC71CFEEC251}"/>
    <cellStyle name="Millares 16 5" xfId="1715" xr:uid="{C094CEE6-A1BC-4084-9B48-5F7493B7AA9B}"/>
    <cellStyle name="Millares 16 6" xfId="2061" xr:uid="{EE9B9951-5927-4E47-8229-DCF7C5C5FFB2}"/>
    <cellStyle name="Millares 16 6 2" xfId="3714" xr:uid="{27693B25-05EE-4C98-A8DC-ABEBE7946E25}"/>
    <cellStyle name="Millares 16 7" xfId="4072" xr:uid="{9849617E-882A-4043-AA73-CC13D903B9BE}"/>
    <cellStyle name="Millares 16 7 2" xfId="8641" xr:uid="{E8C89EFA-F17E-43EC-BF50-CD615C73E8C9}"/>
    <cellStyle name="Millares 16 8" xfId="1429" xr:uid="{597CE9BB-65F2-455E-97C3-4891D57671F9}"/>
    <cellStyle name="Millares 17" xfId="417" xr:uid="{00000000-0005-0000-0000-0000B1010000}"/>
    <cellStyle name="Millares 17 2" xfId="418" xr:uid="{00000000-0005-0000-0000-0000B2010000}"/>
    <cellStyle name="Millares 17 2 2" xfId="419" xr:uid="{00000000-0005-0000-0000-0000B3010000}"/>
    <cellStyle name="Millares 17 2 2 2" xfId="1726" xr:uid="{F4554D94-601F-4C65-A9A5-26B345B769ED}"/>
    <cellStyle name="Millares 17 2 2 3" xfId="2072" xr:uid="{C4B82E8A-FC6E-4440-A50E-18985D46F7CE}"/>
    <cellStyle name="Millares 17 2 2 3 2" xfId="3725" xr:uid="{9FD78FFE-042E-4E99-8C90-0A5C7F8E38CA}"/>
    <cellStyle name="Millares 17 2 2 4" xfId="4083" xr:uid="{90952343-8C38-4F6E-9D54-81F2A5FEC75A}"/>
    <cellStyle name="Millares 17 2 2 4 2" xfId="8652" xr:uid="{A4FF882C-2CFA-4906-B8AB-0585BF86F288}"/>
    <cellStyle name="Millares 17 2 2 5" xfId="1440" xr:uid="{460FB86A-70C9-4848-BAB4-E63CE7F21B0C}"/>
    <cellStyle name="Millares 17 2 3" xfId="1725" xr:uid="{DF6136F0-1348-4DA6-907A-214A027F1DDF}"/>
    <cellStyle name="Millares 17 2 4" xfId="2071" xr:uid="{4ED5C069-4C42-475C-B47C-248580C8C806}"/>
    <cellStyle name="Millares 17 2 4 2" xfId="3724" xr:uid="{C1874B12-4834-44ED-BF02-BAB88EFAF6E5}"/>
    <cellStyle name="Millares 17 2 5" xfId="4082" xr:uid="{CC23CB78-5C89-4770-8674-26707D9EA6EE}"/>
    <cellStyle name="Millares 17 2 5 2" xfId="8651" xr:uid="{D7D36EED-E890-4B38-830A-7B1698BC801C}"/>
    <cellStyle name="Millares 17 2 6" xfId="1439" xr:uid="{03930181-F9F0-4918-971B-E115FD88D36C}"/>
    <cellStyle name="Millares 17 3" xfId="420" xr:uid="{00000000-0005-0000-0000-0000B4010000}"/>
    <cellStyle name="Millares 17 3 2" xfId="421" xr:uid="{00000000-0005-0000-0000-0000B5010000}"/>
    <cellStyle name="Millares 17 3 2 2" xfId="1728" xr:uid="{DA30B0B0-7CB7-4432-8448-E91F72BA7D09}"/>
    <cellStyle name="Millares 17 3 2 3" xfId="2074" xr:uid="{212C950F-B158-443B-A413-4249AD236906}"/>
    <cellStyle name="Millares 17 3 2 3 2" xfId="3727" xr:uid="{97CAF252-7CA8-46D0-ABBD-03E96F9B60AC}"/>
    <cellStyle name="Millares 17 3 2 4" xfId="4085" xr:uid="{75693C2A-0CDA-487A-AF3D-C748850A3463}"/>
    <cellStyle name="Millares 17 3 2 4 2" xfId="8654" xr:uid="{C3F13AB3-2678-449D-A602-82090D726B71}"/>
    <cellStyle name="Millares 17 3 2 5" xfId="1442" xr:uid="{9400DAFC-B0FD-40D5-97F8-E33DD5EF64A7}"/>
    <cellStyle name="Millares 17 3 3" xfId="1727" xr:uid="{5186A813-8311-4DD0-9ADB-C23E35B09212}"/>
    <cellStyle name="Millares 17 3 4" xfId="2073" xr:uid="{77F6ACDA-E680-4F2E-95B9-7B75ED447C89}"/>
    <cellStyle name="Millares 17 3 4 2" xfId="3726" xr:uid="{661DE6D2-51F7-4F0C-9C7C-A379B0F87A04}"/>
    <cellStyle name="Millares 17 3 5" xfId="4084" xr:uid="{9EBB3340-9BBF-42EC-8E2B-3DF96DECF2D7}"/>
    <cellStyle name="Millares 17 3 5 2" xfId="8653" xr:uid="{52D2FD7B-D65C-4E0F-B68E-58D7B0A7CF83}"/>
    <cellStyle name="Millares 17 3 6" xfId="1441" xr:uid="{BF74C2FC-B643-4BB5-967D-A847C4AD0A19}"/>
    <cellStyle name="Millares 17 4" xfId="422" xr:uid="{00000000-0005-0000-0000-0000B6010000}"/>
    <cellStyle name="Millares 18" xfId="423" xr:uid="{00000000-0005-0000-0000-0000B7010000}"/>
    <cellStyle name="Millares 18 2" xfId="424" xr:uid="{00000000-0005-0000-0000-0000B8010000}"/>
    <cellStyle name="Millares 18 2 2" xfId="425" xr:uid="{00000000-0005-0000-0000-0000B9010000}"/>
    <cellStyle name="Millares 18 2 3" xfId="426" xr:uid="{00000000-0005-0000-0000-0000BA010000}"/>
    <cellStyle name="Millares 18 2 3 2" xfId="1730" xr:uid="{562AE124-AB7E-4175-975E-53AD90EADDBB}"/>
    <cellStyle name="Millares 18 2 3 3" xfId="2076" xr:uid="{7857C908-E198-4C9C-B29C-3A2A935B0C8E}"/>
    <cellStyle name="Millares 18 2 3 3 2" xfId="3729" xr:uid="{E09074CA-0761-4DE2-A026-955B5CCAD07E}"/>
    <cellStyle name="Millares 18 2 3 4" xfId="4087" xr:uid="{3A63AC8B-F5BC-4A37-B920-5C2D3887464D}"/>
    <cellStyle name="Millares 18 2 3 4 2" xfId="8656" xr:uid="{E3126A27-5753-49C5-8ED3-99513837F696}"/>
    <cellStyle name="Millares 18 2 3 5" xfId="1444" xr:uid="{20CF8BEB-F79F-410F-83C9-F2B9210BD1E2}"/>
    <cellStyle name="Millares 18 2 4" xfId="1729" xr:uid="{471E83DF-5F9D-440F-B9E7-CB3E8A025AFB}"/>
    <cellStyle name="Millares 18 2 5" xfId="2075" xr:uid="{1945A2BC-71BA-45BE-B3BE-ECC56E99F0B2}"/>
    <cellStyle name="Millares 18 2 5 2" xfId="3728" xr:uid="{53D90E7E-6F57-42E8-A536-A25C0D68F5F8}"/>
    <cellStyle name="Millares 18 2 6" xfId="4086" xr:uid="{4B308C22-ACD1-4E6B-B6F1-0476F0C64C34}"/>
    <cellStyle name="Millares 18 2 6 2" xfId="8655" xr:uid="{09D26BE1-7B98-4855-B942-9379E84D6E93}"/>
    <cellStyle name="Millares 18 2 7" xfId="1443" xr:uid="{55BD8FF7-7A2F-4474-8E05-57DADC79D37F}"/>
    <cellStyle name="Millares 19" xfId="427" xr:uid="{00000000-0005-0000-0000-0000BB010000}"/>
    <cellStyle name="Millares 19 2" xfId="428" xr:uid="{00000000-0005-0000-0000-0000BC010000}"/>
    <cellStyle name="Millares 19 3" xfId="429" xr:uid="{00000000-0005-0000-0000-0000BD010000}"/>
    <cellStyle name="Millares 2" xfId="430" xr:uid="{00000000-0005-0000-0000-0000BE010000}"/>
    <cellStyle name="Millares 2 2" xfId="431" xr:uid="{00000000-0005-0000-0000-0000BF010000}"/>
    <cellStyle name="Millares 2 2 2" xfId="981" xr:uid="{00000000-0005-0000-0000-0000C0010000}"/>
    <cellStyle name="Millares 2 2 3" xfId="1002" xr:uid="{00000000-0005-0000-0000-0000C1010000}"/>
    <cellStyle name="Millares 2 2 4" xfId="1019" xr:uid="{00000000-0005-0000-0000-0000C2010000}"/>
    <cellStyle name="Millares 2 3" xfId="920" xr:uid="{00000000-0005-0000-0000-0000C3010000}"/>
    <cellStyle name="Millares 2 3 2" xfId="1874" xr:uid="{93B8854A-085F-4606-8A73-5FF57C760FBB}"/>
    <cellStyle name="Millares 2 3 2 2" xfId="2418" xr:uid="{F3407B21-F1A9-47C9-A8E8-13D094DC0C35}"/>
    <cellStyle name="Millares 2 3 2 2 2" xfId="3429" xr:uid="{7B315F44-B686-4BFE-A175-29654FA9CA73}"/>
    <cellStyle name="Millares 2 3 2 2 2 2" xfId="5853" xr:uid="{46AC348D-BA10-4577-BABF-21D829C423BE}"/>
    <cellStyle name="Millares 2 3 2 2 2 2 2" xfId="10421" xr:uid="{3640DFFB-9C5E-41D6-9473-5DEEF0FB3935}"/>
    <cellStyle name="Millares 2 3 2 2 2 3" xfId="8129" xr:uid="{DD3A110A-8D0E-4085-B597-E44EE972B3C1}"/>
    <cellStyle name="Millares 2 3 2 2 3" xfId="4844" xr:uid="{A24E5EEF-EFE2-4A09-8F84-03B2C281CC24}"/>
    <cellStyle name="Millares 2 3 2 2 3 2" xfId="9412" xr:uid="{D4C18753-4FB3-4540-BDC9-0A0FBA978010}"/>
    <cellStyle name="Millares 2 3 2 2 4" xfId="7120" xr:uid="{50144C80-77AF-4AE6-8CD9-12BD8E99CAC0}"/>
    <cellStyle name="Millares 2 3 2 3" xfId="3001" xr:uid="{B6538F24-A8C1-43ED-9AA6-90B6A59B8B99}"/>
    <cellStyle name="Millares 2 3 2 3 2" xfId="5425" xr:uid="{635D8996-6262-4314-8989-6B97A2C31DC1}"/>
    <cellStyle name="Millares 2 3 2 3 2 2" xfId="9993" xr:uid="{7771134D-B570-419E-B90D-DFD77B4B7988}"/>
    <cellStyle name="Millares 2 3 2 3 3" xfId="7701" xr:uid="{E4481458-E859-42F0-8DB5-A34189336B89}"/>
    <cellStyle name="Millares 2 3 2 4" xfId="4416" xr:uid="{35CEAACB-7066-4A8A-B119-7D5A7383D222}"/>
    <cellStyle name="Millares 2 3 2 4 2" xfId="8984" xr:uid="{F5DD425E-2B54-4833-8E85-FE31AEE5A76E}"/>
    <cellStyle name="Millares 2 3 2 5" xfId="6692" xr:uid="{2B64FA74-797D-46C8-811C-7BEF81308DE7}"/>
    <cellStyle name="Millares 2 3 3" xfId="2229" xr:uid="{E3B9D59B-3330-410B-9020-391526BA529A}"/>
    <cellStyle name="Millares 2 3 3 2" xfId="3242" xr:uid="{E1BCDDC7-9273-4B2B-A0A3-112F07D2F3EC}"/>
    <cellStyle name="Millares 2 3 3 2 2" xfId="5666" xr:uid="{B6501D32-2188-4710-811B-70F4A910E97B}"/>
    <cellStyle name="Millares 2 3 3 2 2 2" xfId="10234" xr:uid="{2CCE87CF-6273-4664-AF43-020F3A01C782}"/>
    <cellStyle name="Millares 2 3 3 2 3" xfId="7942" xr:uid="{E7E0E58F-30F8-49D7-8105-84637896E5DE}"/>
    <cellStyle name="Millares 2 3 3 3" xfId="4657" xr:uid="{9FA35A82-6EBC-4D06-BFA0-B01382891E0C}"/>
    <cellStyle name="Millares 2 3 3 3 2" xfId="9225" xr:uid="{A9BC556A-D2B6-4D60-BE2A-2B129F4615DB}"/>
    <cellStyle name="Millares 2 3 3 4" xfId="6933" xr:uid="{8315313F-BCA3-46E7-A9EE-B9172113EF5A}"/>
    <cellStyle name="Millares 2 3 4" xfId="2813" xr:uid="{28F3B762-08FB-45D1-B2D5-F7160AD3503E}"/>
    <cellStyle name="Millares 2 3 4 2" xfId="5238" xr:uid="{F3976596-5617-43C2-99C8-F4DF90AFC347}"/>
    <cellStyle name="Millares 2 3 4 2 2" xfId="9806" xr:uid="{86E98160-7985-486E-9166-844E16F77DD4}"/>
    <cellStyle name="Millares 2 3 4 3" xfId="7514" xr:uid="{DF0B4529-60D0-430A-80DF-6BF042829B67}"/>
    <cellStyle name="Millares 2 3 5" xfId="4227" xr:uid="{A504BBFE-1E07-46D5-97CB-818CB9B27857}"/>
    <cellStyle name="Millares 2 3 5 2" xfId="8795" xr:uid="{637BE3DB-2072-4A83-BFF8-9A4690B2E6DD}"/>
    <cellStyle name="Millares 2 3 6" xfId="6504" xr:uid="{86AC837D-7D99-48B2-AED2-12FEC3338E58}"/>
    <cellStyle name="Millares 2 3 7" xfId="1584" xr:uid="{C9317574-6A3A-419D-8B6F-284AA9D316B5}"/>
    <cellStyle name="Millares 2 4" xfId="965" xr:uid="{00000000-0005-0000-0000-0000C4010000}"/>
    <cellStyle name="Millares 2 5" xfId="975" xr:uid="{00000000-0005-0000-0000-0000C5010000}"/>
    <cellStyle name="Millares 2 6" xfId="996" xr:uid="{00000000-0005-0000-0000-0000C6010000}"/>
    <cellStyle name="Millares 2 7" xfId="1010" xr:uid="{00000000-0005-0000-0000-0000C7010000}"/>
    <cellStyle name="Millares 2 8" xfId="1014" xr:uid="{00000000-0005-0000-0000-0000C8010000}"/>
    <cellStyle name="Millares 2_Libro6 (9)" xfId="432" xr:uid="{00000000-0005-0000-0000-0000C9010000}"/>
    <cellStyle name="Millares 20" xfId="433" xr:uid="{00000000-0005-0000-0000-0000CA010000}"/>
    <cellStyle name="Millares 20 2" xfId="434" xr:uid="{00000000-0005-0000-0000-0000CB010000}"/>
    <cellStyle name="Millares 21" xfId="435" xr:uid="{00000000-0005-0000-0000-0000CC010000}"/>
    <cellStyle name="Millares 21 2" xfId="436" xr:uid="{00000000-0005-0000-0000-0000CD010000}"/>
    <cellStyle name="Millares 22" xfId="437" xr:uid="{00000000-0005-0000-0000-0000CE010000}"/>
    <cellStyle name="Millares 22 2" xfId="438" xr:uid="{00000000-0005-0000-0000-0000CF010000}"/>
    <cellStyle name="Millares 23" xfId="439" xr:uid="{00000000-0005-0000-0000-0000D0010000}"/>
    <cellStyle name="Millares 23 2" xfId="440" xr:uid="{00000000-0005-0000-0000-0000D1010000}"/>
    <cellStyle name="Millares 23 2 2" xfId="1732" xr:uid="{8A6B52DD-2891-498C-BBBF-CA7380E4A1AC}"/>
    <cellStyle name="Millares 23 2 3" xfId="2078" xr:uid="{91B89B34-5D72-4F9E-B61A-3F0B2756B915}"/>
    <cellStyle name="Millares 23 2 3 2" xfId="3731" xr:uid="{76DDE87F-0F87-4C15-B3F6-DFD9939F6A5B}"/>
    <cellStyle name="Millares 23 2 4" xfId="4089" xr:uid="{07C56E7E-48E0-4439-B0B6-A19E47F5CAA3}"/>
    <cellStyle name="Millares 23 2 4 2" xfId="8658" xr:uid="{72A73FBB-CF7E-43E5-9423-E2B8417C3542}"/>
    <cellStyle name="Millares 23 2 5" xfId="1446" xr:uid="{51DE18FF-A85F-433D-A951-B9D4F082CD14}"/>
    <cellStyle name="Millares 23 3" xfId="1731" xr:uid="{1616C734-2267-4025-9E02-CE865C242FC4}"/>
    <cellStyle name="Millares 23 4" xfId="2077" xr:uid="{1A71539F-9A02-4F47-BB15-B2FBA9B1E9C0}"/>
    <cellStyle name="Millares 23 4 2" xfId="3730" xr:uid="{5F328182-E380-4F73-87BE-62F0E2E2B896}"/>
    <cellStyle name="Millares 23 5" xfId="4088" xr:uid="{25B42871-8BF7-4C1E-AA21-AE3650C06041}"/>
    <cellStyle name="Millares 23 5 2" xfId="8657" xr:uid="{2B9A25AF-4BCA-49BC-B314-086E41334F30}"/>
    <cellStyle name="Millares 23 6" xfId="1445" xr:uid="{6C97F179-DC72-493C-8B75-414C3702FDA8}"/>
    <cellStyle name="Millares 24" xfId="441" xr:uid="{00000000-0005-0000-0000-0000D2010000}"/>
    <cellStyle name="Millares 24 2" xfId="442" xr:uid="{00000000-0005-0000-0000-0000D3010000}"/>
    <cellStyle name="Millares 24 2 2" xfId="443" xr:uid="{00000000-0005-0000-0000-0000D4010000}"/>
    <cellStyle name="Millares 24 2 2 2" xfId="1735" xr:uid="{EA9390DC-C266-43ED-AF70-E815AAF83BDE}"/>
    <cellStyle name="Millares 24 2 2 3" xfId="2081" xr:uid="{97858DA5-D2C8-4A92-8F9C-1D585DEF2F7E}"/>
    <cellStyle name="Millares 24 2 2 3 2" xfId="3734" xr:uid="{17245B9E-FE4E-4B95-9CE5-314B88BEB7EF}"/>
    <cellStyle name="Millares 24 2 2 4" xfId="4092" xr:uid="{B65EF368-FDEA-4466-B6DD-D8E217996159}"/>
    <cellStyle name="Millares 24 2 2 4 2" xfId="8661" xr:uid="{49285AE2-2A97-4911-974B-2AB829710289}"/>
    <cellStyle name="Millares 24 2 2 5" xfId="1449" xr:uid="{7C85F89B-9012-4F1D-B6E3-8B2E8BDBDD0B}"/>
    <cellStyle name="Millares 24 2 3" xfId="1640" xr:uid="{54AC02C0-5B35-4CA5-8D0E-224F58BDAC4C}"/>
    <cellStyle name="Millares 24 2 3 2" xfId="1930" xr:uid="{3E893483-26A0-4C47-91F9-7B8B64D6090B}"/>
    <cellStyle name="Millares 24 2 3 2 2" xfId="2472" xr:uid="{86699046-7521-4C7A-AFFF-48194A82BDCC}"/>
    <cellStyle name="Millares 24 2 3 2 2 2" xfId="3483" xr:uid="{817C60F1-458F-4B1F-844E-36CD4E0B5480}"/>
    <cellStyle name="Millares 24 2 3 2 2 2 2" xfId="5907" xr:uid="{1530C7F5-5F3B-4ED1-AAD7-66C460A06E69}"/>
    <cellStyle name="Millares 24 2 3 2 2 2 2 2" xfId="10475" xr:uid="{027717FA-346D-43D7-B3D4-63B8BC885E77}"/>
    <cellStyle name="Millares 24 2 3 2 2 2 3" xfId="8183" xr:uid="{770B84C1-11A0-4FB6-B727-0019DB11A00C}"/>
    <cellStyle name="Millares 24 2 3 2 2 3" xfId="4898" xr:uid="{C2AF98FC-C0E8-4CBD-9671-DACD5C66077F}"/>
    <cellStyle name="Millares 24 2 3 2 2 3 2" xfId="9466" xr:uid="{F358FA91-F63E-4738-88A1-2E203951C13C}"/>
    <cellStyle name="Millares 24 2 3 2 2 4" xfId="7174" xr:uid="{2D59CC6D-4FB9-4DE4-881D-3E7F3E3C63E1}"/>
    <cellStyle name="Millares 24 2 3 2 3" xfId="3055" xr:uid="{F1FF8C04-D18A-4DC3-B334-7A5A43572517}"/>
    <cellStyle name="Millares 24 2 3 2 3 2" xfId="5479" xr:uid="{95042722-CEAE-49A8-8C00-A682A3FE519A}"/>
    <cellStyle name="Millares 24 2 3 2 3 2 2" xfId="10047" xr:uid="{984861DD-C4FA-454B-8B8E-4AFD718FDC43}"/>
    <cellStyle name="Millares 24 2 3 2 3 3" xfId="7755" xr:uid="{F2E813FB-BBC5-4C75-8B8D-7A8386933F62}"/>
    <cellStyle name="Millares 24 2 3 2 4" xfId="4470" xr:uid="{805EBEFE-021B-43CB-A5DD-3BE9C0F4D867}"/>
    <cellStyle name="Millares 24 2 3 2 4 2" xfId="9038" xr:uid="{75A36013-C6AF-452D-B3E0-000D1A4D1E10}"/>
    <cellStyle name="Millares 24 2 3 2 5" xfId="6746" xr:uid="{D0AE9C3E-0A50-4080-BA78-036F73F2C84A}"/>
    <cellStyle name="Millares 24 2 3 3" xfId="1943" xr:uid="{FCE5FDEE-9262-401F-BA75-91FD276DADC1}"/>
    <cellStyle name="Millares 24 2 3 3 2" xfId="2482" xr:uid="{A5C81885-6EC2-4430-88AA-D7075F0DEE45}"/>
    <cellStyle name="Millares 24 2 3 3 2 2" xfId="3873" xr:uid="{E3683237-F2E6-4D0C-9CAD-A35FE121BBDA}"/>
    <cellStyle name="Millares 24 2 3 3 2 2 2" xfId="6167" xr:uid="{438864C4-F6D7-451B-9DE6-0E56A63D99CB}"/>
    <cellStyle name="Millares 24 2 3 3 2 2 2 2" xfId="10735" xr:uid="{168FABB9-B39F-4B03-929E-8E5622F1319D}"/>
    <cellStyle name="Millares 24 2 3 3 2 2 3" xfId="8443" xr:uid="{6D0B9D58-1CC6-4EC6-AC17-3D7BF7429862}"/>
    <cellStyle name="Millares 24 2 3 3 2 3" xfId="3493" xr:uid="{E7CA5241-1CFD-4A48-BF6B-8D45FD50252E}"/>
    <cellStyle name="Millares 24 2 3 3 2 3 2" xfId="5917" xr:uid="{9F6B4A08-DDC3-4987-AF33-8A8571619402}"/>
    <cellStyle name="Millares 24 2 3 3 2 3 2 2" xfId="10485" xr:uid="{4C98CFE9-9967-480A-BF1B-EC1C907142E5}"/>
    <cellStyle name="Millares 24 2 3 3 2 3 3" xfId="8193" xr:uid="{4603C2CB-178B-4671-8FA0-E392EA668A3A}"/>
    <cellStyle name="Millares 24 2 3 3 2 4" xfId="4908" xr:uid="{AB497646-DE09-452A-A5D1-0072186D6FAB}"/>
    <cellStyle name="Millares 24 2 3 3 2 4 2" xfId="9476" xr:uid="{82BB2398-6A48-4BF9-9D16-D5ADB2EE8000}"/>
    <cellStyle name="Millares 24 2 3 3 2 5" xfId="7184" xr:uid="{F777C5AE-AC94-4832-8B5A-B138766847ED}"/>
    <cellStyle name="Millares 24 2 3 3 3" xfId="3065" xr:uid="{BEB108DD-664A-4761-9831-BE6F3A6EC0D6}"/>
    <cellStyle name="Millares 24 2 3 3 3 2" xfId="5489" xr:uid="{AF181B12-4D53-498B-BDAE-04127342B061}"/>
    <cellStyle name="Millares 24 2 3 3 3 2 2" xfId="10057" xr:uid="{44716C9B-B006-4174-8835-AB85D1630EA6}"/>
    <cellStyle name="Millares 24 2 3 3 3 3" xfId="7765" xr:uid="{8D21C9C3-4765-4CA3-B9B5-64A785AD8E9B}"/>
    <cellStyle name="Millares 24 2 3 3 4" xfId="4480" xr:uid="{EC4C5C38-F896-43B3-B8F1-54D6638BA7CE}"/>
    <cellStyle name="Millares 24 2 3 3 4 2" xfId="9048" xr:uid="{BD4000AC-5A5D-45CC-A65F-26229CCDDD04}"/>
    <cellStyle name="Millares 24 2 3 3 5" xfId="6756" xr:uid="{93536848-E25D-4F45-85CC-5848838CCAB2}"/>
    <cellStyle name="Millares 24 2 3 4" xfId="2285" xr:uid="{33D678EA-4971-4587-B324-FA244693BC46}"/>
    <cellStyle name="Millares 24 2 3 4 2" xfId="3835" xr:uid="{1A8965C4-AB9D-4109-B083-F3CE26D9972A}"/>
    <cellStyle name="Millares 24 2 3 4 2 2" xfId="6129" xr:uid="{9A32D0C8-E7F6-4A6B-9578-6831A740D780}"/>
    <cellStyle name="Millares 24 2 3 4 2 2 2" xfId="10697" xr:uid="{2A698DAC-9A8C-4B9F-954D-ABF4C6C05610}"/>
    <cellStyle name="Millares 24 2 3 4 2 3" xfId="8405" xr:uid="{F940113E-6A61-4DB2-A043-F99D9BDA5866}"/>
    <cellStyle name="Millares 24 2 3 4 3" xfId="3296" xr:uid="{9F13D2E3-A0BC-45A4-8A69-299D922309BA}"/>
    <cellStyle name="Millares 24 2 3 4 3 2" xfId="5720" xr:uid="{E5733E2B-8D4F-430E-AB03-5C61480A91F5}"/>
    <cellStyle name="Millares 24 2 3 4 3 2 2" xfId="10288" xr:uid="{5E0A460E-8314-4DB2-8985-4DC55D3A4B96}"/>
    <cellStyle name="Millares 24 2 3 4 3 3" xfId="7996" xr:uid="{E847D29A-6EC6-4447-B9F6-C5483FD51621}"/>
    <cellStyle name="Millares 24 2 3 4 4" xfId="4711" xr:uid="{8DCFDFD0-4B68-465A-BEDD-434229F084EC}"/>
    <cellStyle name="Millares 24 2 3 4 4 2" xfId="9279" xr:uid="{7F44D9B5-0F50-486D-9C6E-E108C7558276}"/>
    <cellStyle name="Millares 24 2 3 4 5" xfId="6987" xr:uid="{5CE0BB50-FE74-4C48-9FA9-FDBC14A055BC}"/>
    <cellStyle name="Millares 24 2 3 5" xfId="2868" xr:uid="{A2A0AA71-D206-4D91-9A43-FB4978F09A34}"/>
    <cellStyle name="Millares 24 2 3 5 2" xfId="5292" xr:uid="{8F9D1989-0E02-4996-8FC3-56E088203D7F}"/>
    <cellStyle name="Millares 24 2 3 5 2 2" xfId="9860" xr:uid="{17092718-8F4F-4CA2-8615-82581080BEE2}"/>
    <cellStyle name="Millares 24 2 3 5 3" xfId="7568" xr:uid="{0ABCC7E4-7978-4D63-A090-A6E61E614265}"/>
    <cellStyle name="Millares 24 2 3 6" xfId="4283" xr:uid="{45A00910-5855-43B5-A511-54BBEC28F3BF}"/>
    <cellStyle name="Millares 24 2 3 6 2" xfId="8851" xr:uid="{63C36474-8A09-4789-9035-739E6095FC45}"/>
    <cellStyle name="Millares 24 2 3 7" xfId="6559" xr:uid="{6D638E27-06FD-4656-9C2C-0B462D5FDD5F}"/>
    <cellStyle name="Millares 24 2 4" xfId="1734" xr:uid="{7CCAB681-F242-49E5-844A-4A387ABD46B4}"/>
    <cellStyle name="Millares 24 2 4 2" xfId="2339" xr:uid="{B81235F2-4D00-4A63-8C76-B660AAEA1971}"/>
    <cellStyle name="Millares 24 2 4 2 2" xfId="3350" xr:uid="{0DA1A52E-62E8-4988-AE03-D919DCC50A64}"/>
    <cellStyle name="Millares 24 2 4 2 2 2" xfId="5774" xr:uid="{8B8E6FCC-E997-42D2-918D-E3D50B93C814}"/>
    <cellStyle name="Millares 24 2 4 2 2 2 2" xfId="10342" xr:uid="{8809D534-D752-4743-8A55-0CA12B56768D}"/>
    <cellStyle name="Millares 24 2 4 2 2 3" xfId="8050" xr:uid="{BB55F1BD-2B84-4C19-B73D-E049D6358DB1}"/>
    <cellStyle name="Millares 24 2 4 2 3" xfId="4765" xr:uid="{658D3BA7-1679-4944-9E75-14DE5F5A76D0}"/>
    <cellStyle name="Millares 24 2 4 2 3 2" xfId="9333" xr:uid="{EDFE66B5-EDD1-45DC-8B85-63CF0E456D61}"/>
    <cellStyle name="Millares 24 2 4 2 4" xfId="7041" xr:uid="{4996EB89-F523-4279-B77F-F6A73EFE00CE}"/>
    <cellStyle name="Millares 24 2 4 3" xfId="2922" xr:uid="{FCA60EA3-AAA4-4466-AC39-0167A2E5FC61}"/>
    <cellStyle name="Millares 24 2 4 3 2" xfId="5346" xr:uid="{1536E283-16DD-462D-9905-B9CCDFA880C5}"/>
    <cellStyle name="Millares 24 2 4 3 2 2" xfId="9914" xr:uid="{8E74CC77-C153-4FFE-B911-0CA951C32E26}"/>
    <cellStyle name="Millares 24 2 4 3 3" xfId="7622" xr:uid="{F43894D5-B816-46BF-BAC5-D9371E810389}"/>
    <cellStyle name="Millares 24 2 4 4" xfId="4337" xr:uid="{FEBFB349-CCBA-489E-BA3A-0C7FB18DFFE2}"/>
    <cellStyle name="Millares 24 2 4 4 2" xfId="8905" xr:uid="{7FD4C332-99D5-4EA0-922B-ABB452BFAC96}"/>
    <cellStyle name="Millares 24 2 4 5" xfId="6613" xr:uid="{8C3489CD-1702-46D0-93FC-9BDD5B3FEEB9}"/>
    <cellStyle name="Millares 24 2 5" xfId="2080" xr:uid="{18775758-2ACC-4ACC-9233-D0CD8B196846}"/>
    <cellStyle name="Millares 24 2 5 2" xfId="3733" xr:uid="{86CDD37E-22F5-4CFB-AA3C-D00DCC00CBB5}"/>
    <cellStyle name="Millares 24 2 5 2 2" xfId="6099" xr:uid="{5736DABA-0712-42AC-908F-2CA199F63AF5}"/>
    <cellStyle name="Millares 24 2 5 2 2 2" xfId="10667" xr:uid="{EBEF473A-A693-48CA-B6FF-9ABFDAB6A022}"/>
    <cellStyle name="Millares 24 2 5 2 3" xfId="8375" xr:uid="{B2C9B14B-ABE0-47E1-8B24-F24A442AC388}"/>
    <cellStyle name="Millares 24 2 5 3" xfId="3163" xr:uid="{BF12D287-9D8B-4703-A0BE-5FDB9F9CE265}"/>
    <cellStyle name="Millares 24 2 5 3 2" xfId="5587" xr:uid="{3BE09DC9-F7C3-4B98-B521-DCB4750D045E}"/>
    <cellStyle name="Millares 24 2 5 3 2 2" xfId="10155" xr:uid="{4D0EA9CD-D56D-48C5-92DE-14C0B06189EA}"/>
    <cellStyle name="Millares 24 2 5 3 3" xfId="7863" xr:uid="{8DD4CDAA-BAAB-46B3-8F67-7F89BB2E4DCB}"/>
    <cellStyle name="Millares 24 2 5 4" xfId="4578" xr:uid="{20FAD96D-02EA-4619-B8A5-2742137D1C02}"/>
    <cellStyle name="Millares 24 2 5 4 2" xfId="9146" xr:uid="{F9A2A293-F98E-42A6-A554-C4DE5E7EF4C2}"/>
    <cellStyle name="Millares 24 2 5 5" xfId="6854" xr:uid="{48F5880F-D261-4DB0-A111-8F06A059D305}"/>
    <cellStyle name="Millares 24 2 6" xfId="2730" xr:uid="{87FE3263-73AE-4243-A74E-8B2D3B3D20CD}"/>
    <cellStyle name="Millares 24 2 6 2" xfId="5156" xr:uid="{429DFC66-7220-4D48-AB50-C217D6124C92}"/>
    <cellStyle name="Millares 24 2 6 2 2" xfId="9724" xr:uid="{0CD458B9-9280-4D85-8C6F-64C569D96B92}"/>
    <cellStyle name="Millares 24 2 6 3" xfId="7432" xr:uid="{A0E6DBAC-2DC2-42D3-A6EF-2FF06DFB7B67}"/>
    <cellStyle name="Millares 24 2 7" xfId="4091" xr:uid="{385D7C6F-8319-49A5-BEF5-F8BC6E297AA9}"/>
    <cellStyle name="Millares 24 2 7 2" xfId="8660" xr:uid="{8A9845DD-DFCA-42BB-A09C-9A25994FD293}"/>
    <cellStyle name="Millares 24 2 8" xfId="6424" xr:uid="{0BDFEE79-571A-4E25-B4A8-15A02FAA8BA6}"/>
    <cellStyle name="Millares 24 2 9" xfId="1448" xr:uid="{F7810FB1-AF94-45D4-82C1-BD8349A259B1}"/>
    <cellStyle name="Millares 24 3" xfId="444" xr:uid="{00000000-0005-0000-0000-0000D5010000}"/>
    <cellStyle name="Millares 24 3 2" xfId="1736" xr:uid="{7EF2D08D-4065-42D7-B458-00777180C64E}"/>
    <cellStyle name="Millares 24 3 3" xfId="2082" xr:uid="{162F6066-0621-4016-9385-D7A9B1828020}"/>
    <cellStyle name="Millares 24 3 3 2" xfId="3735" xr:uid="{99E829A3-3CAE-41DC-9F19-0F5613726E33}"/>
    <cellStyle name="Millares 24 3 4" xfId="4093" xr:uid="{FB66DF24-3BE4-4BD4-B88D-29C4AF18861B}"/>
    <cellStyle name="Millares 24 3 4 2" xfId="8662" xr:uid="{F9DB25B5-1C3E-49C8-BDBB-C7035EAA9836}"/>
    <cellStyle name="Millares 24 3 5" xfId="1450" xr:uid="{418FA430-D753-41FE-B7B6-9ECAA94DC34C}"/>
    <cellStyle name="Millares 24 4" xfId="1733" xr:uid="{296B6664-6D83-436D-98A7-6F972F3749C2}"/>
    <cellStyle name="Millares 24 5" xfId="2079" xr:uid="{9EC6F099-0631-48A4-9D49-F3147784F795}"/>
    <cellStyle name="Millares 24 5 2" xfId="3732" xr:uid="{4F70ACE2-BF71-4375-845B-61C6671A7062}"/>
    <cellStyle name="Millares 24 6" xfId="4090" xr:uid="{C0256F8C-4623-4CBC-8760-8E9601F14E4B}"/>
    <cellStyle name="Millares 24 6 2" xfId="8659" xr:uid="{9E6420B1-5756-4721-9669-27B648E62159}"/>
    <cellStyle name="Millares 24 7" xfId="1447" xr:uid="{67909643-7628-4745-B8EE-9033692E871B}"/>
    <cellStyle name="Millares 25" xfId="445" xr:uid="{00000000-0005-0000-0000-0000D6010000}"/>
    <cellStyle name="Millares 25 2" xfId="446" xr:uid="{00000000-0005-0000-0000-0000D7010000}"/>
    <cellStyle name="Millares 26" xfId="447" xr:uid="{00000000-0005-0000-0000-0000D8010000}"/>
    <cellStyle name="Millares 26 2" xfId="448" xr:uid="{00000000-0005-0000-0000-0000D9010000}"/>
    <cellStyle name="Millares 26 2 2" xfId="1738" xr:uid="{D8324114-370A-4A82-8AB6-C46C3F55D1F6}"/>
    <cellStyle name="Millares 26 2 3" xfId="2084" xr:uid="{5D604439-D78B-4365-AAD7-5C20E7F71A78}"/>
    <cellStyle name="Millares 26 2 3 2" xfId="3737" xr:uid="{46097A24-61DC-49B7-9B75-14503AFEA358}"/>
    <cellStyle name="Millares 26 2 4" xfId="4095" xr:uid="{BD9A9529-57B1-4690-A4B7-77E76E77C92A}"/>
    <cellStyle name="Millares 26 2 4 2" xfId="8664" xr:uid="{7C049FD0-FB17-4F2F-B19E-8D7CFE08A211}"/>
    <cellStyle name="Millares 26 2 5" xfId="1452" xr:uid="{DA706F47-1852-406F-826C-404546986E73}"/>
    <cellStyle name="Millares 26 3" xfId="1737" xr:uid="{E220DCC1-45F7-46EC-B5A5-03347D38E16C}"/>
    <cellStyle name="Millares 26 4" xfId="2083" xr:uid="{3C4CB99B-4C26-4E3A-A3F0-A89184D7B09A}"/>
    <cellStyle name="Millares 26 4 2" xfId="3736" xr:uid="{97CBB44D-6255-4F66-8D87-8BDB18D0FBD6}"/>
    <cellStyle name="Millares 26 5" xfId="4094" xr:uid="{6C8436E6-89A2-46E2-A8E1-87A119FCCF45}"/>
    <cellStyle name="Millares 26 5 2" xfId="8663" xr:uid="{AD698889-9CC1-4EE3-A4D5-DABF533FAF12}"/>
    <cellStyle name="Millares 26 6" xfId="1451" xr:uid="{77AA07DF-2CAA-480B-A562-B9FAA7D8ACEC}"/>
    <cellStyle name="Millares 27" xfId="449" xr:uid="{00000000-0005-0000-0000-0000DA010000}"/>
    <cellStyle name="Millares 27 2" xfId="450" xr:uid="{00000000-0005-0000-0000-0000DB010000}"/>
    <cellStyle name="Millares 28" xfId="451" xr:uid="{00000000-0005-0000-0000-0000DC010000}"/>
    <cellStyle name="Millares 28 2" xfId="452" xr:uid="{00000000-0005-0000-0000-0000DD010000}"/>
    <cellStyle name="Millares 28 2 2" xfId="2086" xr:uid="{59A7EA39-DAB2-43BF-90BE-7920DD9F6630}"/>
    <cellStyle name="Millares 28 2 2 2" xfId="3739" xr:uid="{5047CCD8-1A46-4F46-87A1-12A3AB553C37}"/>
    <cellStyle name="Millares 28 2 3" xfId="3581" xr:uid="{2015865E-A3D6-4677-90F3-47B6098C3F11}"/>
    <cellStyle name="Millares 28 3" xfId="2085" xr:uid="{84E654AB-1472-4152-AF40-9083E724FF68}"/>
    <cellStyle name="Millares 28 3 2" xfId="3738" xr:uid="{40451993-7BB9-4F47-9E19-101BDCADAF19}"/>
    <cellStyle name="Millares 28 4" xfId="3580" xr:uid="{546D8070-8C53-4870-B4EE-C12772A0A0B9}"/>
    <cellStyle name="Millares 29" xfId="453" xr:uid="{00000000-0005-0000-0000-0000DE010000}"/>
    <cellStyle name="Millares 29 2" xfId="454" xr:uid="{00000000-0005-0000-0000-0000DF010000}"/>
    <cellStyle name="Millares 3" xfId="455" xr:uid="{00000000-0005-0000-0000-0000E0010000}"/>
    <cellStyle name="Millares 3 10" xfId="1012" xr:uid="{00000000-0005-0000-0000-0000E1010000}"/>
    <cellStyle name="Millares 3 11" xfId="1051" xr:uid="{00000000-0005-0000-0000-0000E2010000}"/>
    <cellStyle name="Millares 3 12" xfId="1065" xr:uid="{00000000-0005-0000-0000-0000E3010000}"/>
    <cellStyle name="Millares 3 13" xfId="1087" xr:uid="{00000000-0005-0000-0000-0000E4010000}"/>
    <cellStyle name="Millares 3 14" xfId="1091" xr:uid="{00000000-0005-0000-0000-0000E5010000}"/>
    <cellStyle name="Millares 3 15" xfId="1095" xr:uid="{00000000-0005-0000-0000-0000E6010000}"/>
    <cellStyle name="Millares 3 16" xfId="967" xr:uid="{00000000-0005-0000-0000-0000E7010000}"/>
    <cellStyle name="Millares 3 16 10" xfId="1111" xr:uid="{00000000-0005-0000-0000-0000E8010000}"/>
    <cellStyle name="Millares 3 16 11" xfId="1117" xr:uid="{00000000-0005-0000-0000-0000E9010000}"/>
    <cellStyle name="Millares 3 16 12" xfId="1122" xr:uid="{00000000-0005-0000-0000-0000EA010000}"/>
    <cellStyle name="Millares 3 16 13" xfId="1125" xr:uid="{00000000-0005-0000-0000-0000EB010000}"/>
    <cellStyle name="Millares 3 16 14" xfId="1129" xr:uid="{00000000-0005-0000-0000-0000EC010000}"/>
    <cellStyle name="Millares 3 16 15" xfId="1146" xr:uid="{00000000-0005-0000-0000-0000ED010000}"/>
    <cellStyle name="Millares 3 16 16" xfId="1164" xr:uid="{00000000-0005-0000-0000-0000EE010000}"/>
    <cellStyle name="Millares 3 16 17" xfId="1179" xr:uid="{00000000-0005-0000-0000-0000EF010000}"/>
    <cellStyle name="Millares 3 16 18" xfId="1193" xr:uid="{00000000-0005-0000-0000-0000F0010000}"/>
    <cellStyle name="Millares 3 16 19" xfId="1198" xr:uid="{00000000-0005-0000-0000-0000F1010000}"/>
    <cellStyle name="Millares 3 16 2" xfId="979" xr:uid="{00000000-0005-0000-0000-0000F2010000}"/>
    <cellStyle name="Millares 3 16 20" xfId="1214" xr:uid="{00000000-0005-0000-0000-0000F3010000}"/>
    <cellStyle name="Millares 3 16 21" xfId="1227" xr:uid="{00000000-0005-0000-0000-0000F4010000}"/>
    <cellStyle name="Millares 3 16 22" xfId="1250" xr:uid="{00000000-0005-0000-0000-0000F5010000}"/>
    <cellStyle name="Millares 3 16 23" xfId="1277" xr:uid="{BADA6843-F0E1-4813-ABD5-7DBD6E4677DD}"/>
    <cellStyle name="Millares 3 16 24" xfId="1285" xr:uid="{7A866864-CAD6-4599-A344-1C1BAB8825AE}"/>
    <cellStyle name="Millares 3 16 25" xfId="1298" xr:uid="{639588B8-68B9-49A3-A291-C6A4D61089F2}"/>
    <cellStyle name="Millares 3 16 26" xfId="1306" xr:uid="{BFED7666-1E2E-4A13-99CE-2EB1A34185E7}"/>
    <cellStyle name="Millares 3 16 27" xfId="1326" xr:uid="{0080756B-5578-4BF9-BA11-3C85A08B4035}"/>
    <cellStyle name="Millares 3 16 3" xfId="1000" xr:uid="{00000000-0005-0000-0000-0000F6010000}"/>
    <cellStyle name="Millares 3 16 4" xfId="1017" xr:uid="{00000000-0005-0000-0000-0000F7010000}"/>
    <cellStyle name="Millares 3 16 5" xfId="1026" xr:uid="{00000000-0005-0000-0000-0000F8010000}"/>
    <cellStyle name="Millares 3 16 6" xfId="1034" xr:uid="{00000000-0005-0000-0000-0000F9010000}"/>
    <cellStyle name="Millares 3 16 7" xfId="1049" xr:uid="{00000000-0005-0000-0000-0000FA010000}"/>
    <cellStyle name="Millares 3 16 8" xfId="1063" xr:uid="{00000000-0005-0000-0000-0000FB010000}"/>
    <cellStyle name="Millares 3 16 9" xfId="1089" xr:uid="{00000000-0005-0000-0000-0000FC010000}"/>
    <cellStyle name="Millares 3 17" xfId="1097" xr:uid="{00000000-0005-0000-0000-0000FD010000}"/>
    <cellStyle name="Millares 3 2" xfId="456" xr:uid="{00000000-0005-0000-0000-0000FE010000}"/>
    <cellStyle name="Millares 3 2 2" xfId="978" xr:uid="{00000000-0005-0000-0000-0000FF010000}"/>
    <cellStyle name="Millares 3 2 3" xfId="999" xr:uid="{00000000-0005-0000-0000-000000020000}"/>
    <cellStyle name="Millares 3 2 4" xfId="1016" xr:uid="{00000000-0005-0000-0000-000001020000}"/>
    <cellStyle name="Millares 3 3" xfId="457" xr:uid="{00000000-0005-0000-0000-000002020000}"/>
    <cellStyle name="Millares 3 3 2" xfId="947" xr:uid="{00000000-0005-0000-0000-000003020000}"/>
    <cellStyle name="Millares 3 4" xfId="458" xr:uid="{00000000-0005-0000-0000-000004020000}"/>
    <cellStyle name="Millares 3 4 2" xfId="2087" xr:uid="{E560420E-B91D-428C-AC67-F1BCF6E04ADA}"/>
    <cellStyle name="Millares 3 4 2 2" xfId="3740" xr:uid="{3493F851-B84A-49AA-8616-D870148D1D1A}"/>
    <cellStyle name="Millares 3 4 3" xfId="3582" xr:uid="{9085CF0E-5156-410B-B946-8E1277971986}"/>
    <cellStyle name="Millares 3 5" xfId="927" xr:uid="{00000000-0005-0000-0000-000005020000}"/>
    <cellStyle name="Millares 3 5 2" xfId="1879" xr:uid="{5F111DF3-DA5F-4230-91A2-61FFA8EA6F1E}"/>
    <cellStyle name="Millares 3 5 3" xfId="2234" xr:uid="{BAD9D167-AA04-439D-8406-8C3149DB496D}"/>
    <cellStyle name="Millares 3 5 3 2" xfId="3806" xr:uid="{87434C63-BAC8-4AA6-91E9-DAE25590CF8D}"/>
    <cellStyle name="Millares 3 5 4" xfId="4232" xr:uid="{B302D58D-5801-4A6E-B8AF-D8E88A00B9D4}"/>
    <cellStyle name="Millares 3 5 4 2" xfId="8800" xr:uid="{7EC1EBBC-F6FA-4F4A-BB5B-B70883A0203E}"/>
    <cellStyle name="Millares 3 5 5" xfId="1589" xr:uid="{00B62548-7799-4011-A874-6ACD1D7C8FE2}"/>
    <cellStyle name="Millares 3 6" xfId="964" xr:uid="{00000000-0005-0000-0000-000006020000}"/>
    <cellStyle name="Millares 3 7" xfId="974" xr:uid="{00000000-0005-0000-0000-000007020000}"/>
    <cellStyle name="Millares 3 8" xfId="995" xr:uid="{00000000-0005-0000-0000-000008020000}"/>
    <cellStyle name="Millares 3 9" xfId="1009" xr:uid="{00000000-0005-0000-0000-000009020000}"/>
    <cellStyle name="Millares 30" xfId="459" xr:uid="{00000000-0005-0000-0000-00000A020000}"/>
    <cellStyle name="Millares 30 2" xfId="460" xr:uid="{00000000-0005-0000-0000-00000B020000}"/>
    <cellStyle name="Millares 31" xfId="461" xr:uid="{00000000-0005-0000-0000-00000C020000}"/>
    <cellStyle name="Millares 31 2" xfId="462" xr:uid="{00000000-0005-0000-0000-00000D020000}"/>
    <cellStyle name="Millares 31 2 2" xfId="2089" xr:uid="{995881A8-9E68-4A67-93B7-30349DED291C}"/>
    <cellStyle name="Millares 31 2 2 2" xfId="3742" xr:uid="{696DB4DA-93C3-4592-892D-FFFEEBA6A74E}"/>
    <cellStyle name="Millares 31 2 3" xfId="3584" xr:uid="{A0C0730E-7804-4A3C-9643-6B7FEC280F32}"/>
    <cellStyle name="Millares 31 3" xfId="2088" xr:uid="{E4A5FD8E-670C-4823-850A-F7C4DBE700F6}"/>
    <cellStyle name="Millares 31 3 2" xfId="3741" xr:uid="{20C02F91-C680-4F02-8193-26D6AF37607F}"/>
    <cellStyle name="Millares 31 4" xfId="3583" xr:uid="{4191892C-2759-45A6-9699-24232F918FC9}"/>
    <cellStyle name="Millares 32" xfId="463" xr:uid="{00000000-0005-0000-0000-00000E020000}"/>
    <cellStyle name="Millares 32 2" xfId="464" xr:uid="{00000000-0005-0000-0000-00000F020000}"/>
    <cellStyle name="Millares 33" xfId="465" xr:uid="{00000000-0005-0000-0000-000010020000}"/>
    <cellStyle name="Millares 33 2" xfId="466" xr:uid="{00000000-0005-0000-0000-000011020000}"/>
    <cellStyle name="Millares 33 2 2" xfId="2091" xr:uid="{2BDAD5D7-4E1B-43CF-BFE4-7A23DA7A67FA}"/>
    <cellStyle name="Millares 33 2 2 2" xfId="3744" xr:uid="{167F1EF1-7A22-46D1-8F7D-02EE23265CD5}"/>
    <cellStyle name="Millares 33 2 3" xfId="3586" xr:uid="{EDF5D93D-AB67-4D3E-AAD9-8B7EF3343031}"/>
    <cellStyle name="Millares 33 3" xfId="2090" xr:uid="{B76506BE-ED18-4D98-8B61-731A147EED25}"/>
    <cellStyle name="Millares 33 3 2" xfId="3743" xr:uid="{639903C2-D5A8-46C8-98BC-6C90E9F5644A}"/>
    <cellStyle name="Millares 33 4" xfId="3585" xr:uid="{1D42E6DC-65BF-4D29-8F65-50D904F82663}"/>
    <cellStyle name="Millares 34" xfId="467" xr:uid="{00000000-0005-0000-0000-000012020000}"/>
    <cellStyle name="Millares 34 2" xfId="468" xr:uid="{00000000-0005-0000-0000-000013020000}"/>
    <cellStyle name="Millares 35" xfId="469" xr:uid="{00000000-0005-0000-0000-000014020000}"/>
    <cellStyle name="Millares 35 2" xfId="470" xr:uid="{00000000-0005-0000-0000-000015020000}"/>
    <cellStyle name="Millares 35 2 2" xfId="2093" xr:uid="{5108EE54-BB3E-4F0D-BF09-682A2E66E13E}"/>
    <cellStyle name="Millares 35 2 2 2" xfId="3746" xr:uid="{F8DE14D3-17E5-4E2A-8DAF-9D4E2FC62CE4}"/>
    <cellStyle name="Millares 35 2 3" xfId="3588" xr:uid="{C4E0634F-D4C9-4679-AF74-18E8F8A9EBC4}"/>
    <cellStyle name="Millares 35 3" xfId="2092" xr:uid="{F826889D-78F6-4821-AD2D-4DB378DE50BC}"/>
    <cellStyle name="Millares 35 3 2" xfId="3745" xr:uid="{1878DBDD-E9EE-4712-9D02-2E244270C4B1}"/>
    <cellStyle name="Millares 35 4" xfId="3587" xr:uid="{BF05A027-B030-4D6E-AC8A-DAAD38A39B91}"/>
    <cellStyle name="Millares 36" xfId="471" xr:uid="{00000000-0005-0000-0000-000016020000}"/>
    <cellStyle name="Millares 36 2" xfId="472" xr:uid="{00000000-0005-0000-0000-000017020000}"/>
    <cellStyle name="Millares 36 2 2" xfId="2095" xr:uid="{36D15DDB-73AD-4824-949D-E59B36BA3C9B}"/>
    <cellStyle name="Millares 36 2 2 2" xfId="3748" xr:uid="{BAD6C13B-BF96-4BF9-BDC4-DDE679110DAA}"/>
    <cellStyle name="Millares 36 2 3" xfId="3590" xr:uid="{466130D0-F914-40E0-9A20-1050C9118D70}"/>
    <cellStyle name="Millares 36 3" xfId="2094" xr:uid="{602AAB11-F8E8-4AD5-8DFC-87DD743BE060}"/>
    <cellStyle name="Millares 36 3 2" xfId="3747" xr:uid="{9696354B-869B-4F95-A64A-83EE064696A1}"/>
    <cellStyle name="Millares 36 4" xfId="3589" xr:uid="{825D244B-F2F4-460C-B9C9-F66C85E79607}"/>
    <cellStyle name="Millares 37" xfId="473" xr:uid="{00000000-0005-0000-0000-000018020000}"/>
    <cellStyle name="Millares 37 2" xfId="474" xr:uid="{00000000-0005-0000-0000-000019020000}"/>
    <cellStyle name="Millares 38" xfId="475" xr:uid="{00000000-0005-0000-0000-00001A020000}"/>
    <cellStyle name="Millares 38 2" xfId="476" xr:uid="{00000000-0005-0000-0000-00001B020000}"/>
    <cellStyle name="Millares 39" xfId="477" xr:uid="{00000000-0005-0000-0000-00001C020000}"/>
    <cellStyle name="Millares 39 2" xfId="478" xr:uid="{00000000-0005-0000-0000-00001D020000}"/>
    <cellStyle name="Millares 4" xfId="479" xr:uid="{00000000-0005-0000-0000-00001E020000}"/>
    <cellStyle name="Millares 4 2" xfId="480" xr:uid="{00000000-0005-0000-0000-00001F020000}"/>
    <cellStyle name="Millares 4 3" xfId="481" xr:uid="{00000000-0005-0000-0000-000020020000}"/>
    <cellStyle name="Millares 4 4" xfId="482" xr:uid="{00000000-0005-0000-0000-000021020000}"/>
    <cellStyle name="Millares 4 4 2" xfId="1740" xr:uid="{ABB3B729-E606-497D-887B-58FD3BB06C85}"/>
    <cellStyle name="Millares 4 4 3" xfId="2097" xr:uid="{30262E23-0949-45ED-BB62-4513F479F0E8}"/>
    <cellStyle name="Millares 4 4 3 2" xfId="3750" xr:uid="{31410173-5B79-4F25-BA96-AA2E98B94B49}"/>
    <cellStyle name="Millares 4 4 4" xfId="4097" xr:uid="{4A5AB11D-A834-473A-B3FA-CBC53D528627}"/>
    <cellStyle name="Millares 4 4 4 2" xfId="8666" xr:uid="{17A21D7F-A69C-40DB-8C3E-765BB6D32B73}"/>
    <cellStyle name="Millares 4 4 5" xfId="1454" xr:uid="{A758A612-DB58-4E3F-872C-B902872CE0AD}"/>
    <cellStyle name="Millares 4 5" xfId="1739" xr:uid="{BF3D0D4D-4FCB-43FA-903B-136464A9214E}"/>
    <cellStyle name="Millares 4 6" xfId="2096" xr:uid="{83D38CD3-A0EC-4527-98DA-3084DBDDA2A3}"/>
    <cellStyle name="Millares 4 6 2" xfId="3749" xr:uid="{BACD099E-89FA-456F-AAA9-27226DD91B6A}"/>
    <cellStyle name="Millares 4 7" xfId="4096" xr:uid="{DD6CA162-6503-462F-830A-E6A3758A5645}"/>
    <cellStyle name="Millares 4 7 2" xfId="8665" xr:uid="{08FDFDFA-2128-46D7-A220-6228D90AF4F4}"/>
    <cellStyle name="Millares 4 8" xfId="1453" xr:uid="{E932FD06-4027-49AC-82C9-DB357FC76B9B}"/>
    <cellStyle name="Millares 40" xfId="483" xr:uid="{00000000-0005-0000-0000-000022020000}"/>
    <cellStyle name="Millares 40 2" xfId="484" xr:uid="{00000000-0005-0000-0000-000023020000}"/>
    <cellStyle name="Millares 40 2 2" xfId="2099" xr:uid="{DC264A5A-08E5-4776-93B8-F6CD9867732F}"/>
    <cellStyle name="Millares 40 2 2 2" xfId="3752" xr:uid="{440ECE7F-E3E4-4C0B-94AF-45F5C78AE93E}"/>
    <cellStyle name="Millares 40 2 3" xfId="3592" xr:uid="{AC8A9F43-EB6D-4F9D-B647-9FC3AEFDE0B4}"/>
    <cellStyle name="Millares 40 3" xfId="2098" xr:uid="{82A1D862-DCE4-494E-AECE-44F4E73B08EC}"/>
    <cellStyle name="Millares 40 3 2" xfId="3751" xr:uid="{EF2AB159-6B32-4661-A4AA-287707122D40}"/>
    <cellStyle name="Millares 40 4" xfId="3591" xr:uid="{B8C7434A-96FA-4092-AE93-73A75AB9DF71}"/>
    <cellStyle name="Millares 41" xfId="485" xr:uid="{00000000-0005-0000-0000-000024020000}"/>
    <cellStyle name="Millares 42" xfId="486" xr:uid="{00000000-0005-0000-0000-000025020000}"/>
    <cellStyle name="Millares 43" xfId="917" xr:uid="{00000000-0005-0000-0000-000026020000}"/>
    <cellStyle name="Millares 43 2" xfId="1872" xr:uid="{374EFD15-A7CB-49C0-B158-F22631010989}"/>
    <cellStyle name="Millares 43 2 2" xfId="2416" xr:uid="{F03FD18A-BEC7-4688-BED9-FF7511F39415}"/>
    <cellStyle name="Millares 43 2 2 2" xfId="3427" xr:uid="{7AA50B41-92E4-453C-ADB7-779DADF1D047}"/>
    <cellStyle name="Millares 43 2 2 2 2" xfId="5851" xr:uid="{6D70FCF5-F6A6-47BD-AF90-7D730CB218F5}"/>
    <cellStyle name="Millares 43 2 2 2 2 2" xfId="10419" xr:uid="{2E186FE1-DCE2-4D61-B640-A45FA10F27C6}"/>
    <cellStyle name="Millares 43 2 2 2 3" xfId="8127" xr:uid="{C4AB64B9-5B36-42BB-8A3D-C120DB547D7E}"/>
    <cellStyle name="Millares 43 2 2 3" xfId="4842" xr:uid="{1AF12B27-633C-4752-B41F-BB927CFFBD1E}"/>
    <cellStyle name="Millares 43 2 2 3 2" xfId="9410" xr:uid="{48F4F356-CF0A-4D71-9DD6-12ED3F73234D}"/>
    <cellStyle name="Millares 43 2 2 4" xfId="7118" xr:uid="{EAA3FA76-7ED1-429F-98BC-E87A923D1D10}"/>
    <cellStyle name="Millares 43 2 3" xfId="2999" xr:uid="{A9D2DCDE-9FEA-42D1-BE83-43700C704E89}"/>
    <cellStyle name="Millares 43 2 3 2" xfId="5423" xr:uid="{CBD75682-FDC7-40A5-810E-99AC117FB47C}"/>
    <cellStyle name="Millares 43 2 3 2 2" xfId="9991" xr:uid="{A967CF56-B0F8-43FB-9EB0-ADDBC04DFE5C}"/>
    <cellStyle name="Millares 43 2 3 3" xfId="7699" xr:uid="{D5E6A291-CA16-4F29-A7D0-FE2CFDB806E0}"/>
    <cellStyle name="Millares 43 2 4" xfId="4414" xr:uid="{36DD5B19-813B-4345-8323-BC1591D99A20}"/>
    <cellStyle name="Millares 43 2 4 2" xfId="8982" xr:uid="{AB06EE9A-5EE2-455D-BCAE-36E1062E9151}"/>
    <cellStyle name="Millares 43 2 5" xfId="6690" xr:uid="{EA707F69-7461-4564-8DA5-BB5DBC9793B8}"/>
    <cellStyle name="Millares 43 3" xfId="2227" xr:uid="{5AEB9872-3A3E-49B4-9588-31B98278F522}"/>
    <cellStyle name="Millares 43 3 2" xfId="3804" xr:uid="{91E4C428-F372-4C0B-964C-89D51C8D6E62}"/>
    <cellStyle name="Millares 43 3 2 2" xfId="6100" xr:uid="{B0E7A8F4-028A-4318-831F-542737F56173}"/>
    <cellStyle name="Millares 43 3 2 2 2" xfId="10668" xr:uid="{13659C95-4BC3-4C69-8148-38C64894AF56}"/>
    <cellStyle name="Millares 43 3 2 3" xfId="8376" xr:uid="{485197A1-0073-4029-8EEC-D8E849E7EE80}"/>
    <cellStyle name="Millares 43 3 3" xfId="3240" xr:uid="{7D239B4D-29ED-4028-A73C-DC629C6811C1}"/>
    <cellStyle name="Millares 43 3 3 2" xfId="5664" xr:uid="{9C78D4CD-3D59-40D1-A13D-E6016B0D92DC}"/>
    <cellStyle name="Millares 43 3 3 2 2" xfId="10232" xr:uid="{AC861D56-2614-4898-9056-222B4F5EF631}"/>
    <cellStyle name="Millares 43 3 3 3" xfId="7940" xr:uid="{94141376-7B7D-46D8-9762-047D27E9A58A}"/>
    <cellStyle name="Millares 43 3 4" xfId="4655" xr:uid="{3E1C13AC-B6CD-4840-B819-79158767221A}"/>
    <cellStyle name="Millares 43 3 4 2" xfId="9223" xr:uid="{79ECF7EB-FEBD-4F78-A147-F108F4E3D89E}"/>
    <cellStyle name="Millares 43 3 5" xfId="6931" xr:uid="{486F8175-2AED-4B2D-94B8-8D63D886C407}"/>
    <cellStyle name="Millares 43 4" xfId="2811" xr:uid="{B16BE183-39A9-49D4-BA6F-845720D8C31F}"/>
    <cellStyle name="Millares 43 4 2" xfId="5236" xr:uid="{D8C54776-9252-4DEB-8434-FA6C5515B73C}"/>
    <cellStyle name="Millares 43 4 2 2" xfId="9804" xr:uid="{7B5F7440-D085-4227-BF9A-BB1A2F36A74A}"/>
    <cellStyle name="Millares 43 4 3" xfId="7512" xr:uid="{50881385-1753-46BE-A0D3-D6D35B45B5C0}"/>
    <cellStyle name="Millares 43 5" xfId="4225" xr:uid="{AB08D03D-A9AE-4CAD-9106-E46123F9F5CB}"/>
    <cellStyle name="Millares 43 5 2" xfId="8793" xr:uid="{FB1DDE8C-BA15-4A8B-B3B1-242FF56C5979}"/>
    <cellStyle name="Millares 43 6" xfId="6502" xr:uid="{8F53BC8A-D46C-4F4B-A85A-4A01D5EA2E9B}"/>
    <cellStyle name="Millares 43 7" xfId="1582" xr:uid="{C9F7E308-469F-4641-94C2-D4BC8C63F14C}"/>
    <cellStyle name="Millares 44" xfId="939" xr:uid="{00000000-0005-0000-0000-000027020000}"/>
    <cellStyle name="Millares 44 2" xfId="1881" xr:uid="{925759F6-6409-4390-9259-60DD46DAB241}"/>
    <cellStyle name="Millares 44 2 2" xfId="2423" xr:uid="{C500F69A-6F34-4339-8738-AA5218E232C2}"/>
    <cellStyle name="Millares 44 2 2 2" xfId="3840" xr:uid="{047A176C-EBDC-406E-8FEA-952870C35CDC}"/>
    <cellStyle name="Millares 44 2 2 2 2" xfId="6134" xr:uid="{16F0DAF9-3985-4701-85C4-86DC46C60462}"/>
    <cellStyle name="Millares 44 2 2 2 2 2" xfId="10702" xr:uid="{D6F4BDBD-56E3-47A5-B974-B1917C17DCCB}"/>
    <cellStyle name="Millares 44 2 2 2 3" xfId="8410" xr:uid="{9255AD1E-FC8D-4816-B2B7-CEA71C711EF7}"/>
    <cellStyle name="Millares 44 2 2 3" xfId="3434" xr:uid="{00B50E21-E9AD-4BBB-A960-E1E574ECA153}"/>
    <cellStyle name="Millares 44 2 2 3 2" xfId="5858" xr:uid="{13CE92C8-E7DD-4DB1-B330-648C2E8D0690}"/>
    <cellStyle name="Millares 44 2 2 3 2 2" xfId="10426" xr:uid="{9F0EBCA5-5537-4536-B636-9B1597BAFA40}"/>
    <cellStyle name="Millares 44 2 2 3 3" xfId="8134" xr:uid="{E9127FE3-17B6-4696-88D5-E9D8BED8618E}"/>
    <cellStyle name="Millares 44 2 2 4" xfId="4849" xr:uid="{910397A3-D9C3-4EAB-948E-BDD5C5E527F7}"/>
    <cellStyle name="Millares 44 2 2 4 2" xfId="9417" xr:uid="{16CA243E-7589-4719-A296-250DA5A20598}"/>
    <cellStyle name="Millares 44 2 2 5" xfId="7125" xr:uid="{22B71E5C-3FC1-43E2-9B61-87FED1E12186}"/>
    <cellStyle name="Millares 44 2 3" xfId="3626" xr:uid="{866ECE43-3B33-4ECD-AE13-A9067E2E21EC}"/>
    <cellStyle name="Millares 44 2 3 2" xfId="6030" xr:uid="{13CA1DDF-0E02-4651-86A6-E55429151784}"/>
    <cellStyle name="Millares 44 2 3 2 2" xfId="10598" xr:uid="{8FCD324B-C145-454D-A82C-4F51DD03202C}"/>
    <cellStyle name="Millares 44 2 3 3" xfId="8306" xr:uid="{A4B465FD-E1E7-443D-A96E-24D4CE7D8214}"/>
    <cellStyle name="Millares 44 2 4" xfId="3006" xr:uid="{8ABE215A-97C6-496D-95CA-3E9CC2E7E2B4}"/>
    <cellStyle name="Millares 44 2 4 2" xfId="5430" xr:uid="{BD62B522-E149-4318-9687-1FFCE0A5E2EA}"/>
    <cellStyle name="Millares 44 2 4 2 2" xfId="9998" xr:uid="{136633A8-55C7-4DEB-BE14-1FD5A35A2268}"/>
    <cellStyle name="Millares 44 2 4 3" xfId="7706" xr:uid="{972DEB7C-BE8E-4151-985A-1B29385546A0}"/>
    <cellStyle name="Millares 44 2 5" xfId="4421" xr:uid="{CE8A691F-620C-4B5B-9123-9D1C7A79714E}"/>
    <cellStyle name="Millares 44 2 5 2" xfId="8989" xr:uid="{009645F6-3228-47DA-9703-78943C956C18}"/>
    <cellStyle name="Millares 44 2 6" xfId="6697" xr:uid="{934FD688-E430-4487-89EE-6628D28D60DD}"/>
    <cellStyle name="Millares 44 3" xfId="2236" xr:uid="{FEB31E25-1036-4812-833D-AA230149F033}"/>
    <cellStyle name="Millares 44 3 2" xfId="3807" xr:uid="{B6BCC73C-5534-46A6-8B72-ECBC3A316947}"/>
    <cellStyle name="Millares 44 3 2 2" xfId="6101" xr:uid="{E62E6520-FFDD-4A5E-975C-483C67ABDE18}"/>
    <cellStyle name="Millares 44 3 2 2 2" xfId="10669" xr:uid="{085575E0-51EA-4C99-9D02-DA1049A66619}"/>
    <cellStyle name="Millares 44 3 2 3" xfId="8377" xr:uid="{71A678A3-AAC5-4254-BFE0-9588533F11B0}"/>
    <cellStyle name="Millares 44 3 3" xfId="3247" xr:uid="{0D0C0590-2EDD-42E4-B19E-6C42DE9311E0}"/>
    <cellStyle name="Millares 44 3 3 2" xfId="5671" xr:uid="{5D83CA59-2112-4882-8311-F5E9817D761A}"/>
    <cellStyle name="Millares 44 3 3 2 2" xfId="10239" xr:uid="{9CC3F90E-4FC9-4B58-BB9C-22EF68E85E62}"/>
    <cellStyle name="Millares 44 3 3 3" xfId="7947" xr:uid="{FBF8A10B-FB28-428B-99B8-AB65716A6206}"/>
    <cellStyle name="Millares 44 3 4" xfId="4662" xr:uid="{CCB7BD04-FDEC-44D9-9FA3-B5783D384B5B}"/>
    <cellStyle name="Millares 44 3 4 2" xfId="9230" xr:uid="{250926D2-5CA8-4E85-85A0-94E4C57BA0F8}"/>
    <cellStyle name="Millares 44 3 5" xfId="6938" xr:uid="{4238C767-A920-49B8-9056-C46424658645}"/>
    <cellStyle name="Millares 44 4" xfId="3595" xr:uid="{00AC1DF2-FB69-4027-8AFF-9EEB412EE665}"/>
    <cellStyle name="Millares 44 4 2" xfId="5999" xr:uid="{D421DD48-F56A-4739-AB01-0AE1B1EEE168}"/>
    <cellStyle name="Millares 44 4 2 2" xfId="10567" xr:uid="{5CF16ABA-3DF7-4B7B-902F-FE436E28D981}"/>
    <cellStyle name="Millares 44 4 3" xfId="8275" xr:uid="{A1A4A54A-142D-4D0D-936A-14A0F7F76B49}"/>
    <cellStyle name="Millares 44 5" xfId="2819" xr:uid="{3D67BF2E-996A-4994-9507-52F77814EBBA}"/>
    <cellStyle name="Millares 44 5 2" xfId="5243" xr:uid="{D69A48DA-553A-4600-B0D4-5D244DC05731}"/>
    <cellStyle name="Millares 44 5 2 2" xfId="9811" xr:uid="{F54D08AE-8024-4B6F-8102-E5812C702FDD}"/>
    <cellStyle name="Millares 44 5 3" xfId="7519" xr:uid="{1571D582-1E9A-44E1-9185-62735C455EB3}"/>
    <cellStyle name="Millares 44 6" xfId="4234" xr:uid="{F3667FAC-A276-48CD-8A7C-68F6E7A33C54}"/>
    <cellStyle name="Millares 44 6 2" xfId="8802" xr:uid="{565DEA4D-AEE4-4A7C-83E4-37BE6571EE29}"/>
    <cellStyle name="Millares 44 7" xfId="6510" xr:uid="{67BC80A6-B1B8-4928-8EEE-7D8B9345B203}"/>
    <cellStyle name="Millares 44 8" xfId="1591" xr:uid="{333003E4-9560-43FF-B7D9-DADDDCA850B3}"/>
    <cellStyle name="Millares 45" xfId="941" xr:uid="{00000000-0005-0000-0000-000028020000}"/>
    <cellStyle name="Millares 45 2" xfId="1595" xr:uid="{B6ACCB58-A9D9-4850-90E5-992267CCAF65}"/>
    <cellStyle name="Millares 45 2 2" xfId="1599" xr:uid="{3975A449-B911-4550-A882-808B3787FFD3}"/>
    <cellStyle name="Millares 45 2 2 2" xfId="1889" xr:uid="{7A874732-CFD4-45BF-BDEB-B98E83244FC8}"/>
    <cellStyle name="Millares 45 2 2 2 2" xfId="2431" xr:uid="{F729DB57-0B5F-495F-A075-3DC28913CE56}"/>
    <cellStyle name="Millares 45 2 2 2 2 2" xfId="3845" xr:uid="{93D35F52-75C2-4314-8C6B-00971910A3CE}"/>
    <cellStyle name="Millares 45 2 2 2 2 2 2" xfId="6139" xr:uid="{CFB7B37D-A36D-4FDE-BF38-3B1AF7EE2230}"/>
    <cellStyle name="Millares 45 2 2 2 2 2 2 2" xfId="10707" xr:uid="{B3B7C3C9-5167-43CE-89AB-C99A41D89359}"/>
    <cellStyle name="Millares 45 2 2 2 2 2 3" xfId="8415" xr:uid="{B733BE05-D928-406E-95BF-BDAEE3711526}"/>
    <cellStyle name="Millares 45 2 2 2 2 3" xfId="3442" xr:uid="{087A68EB-B0B4-41CA-9353-21F6486562F9}"/>
    <cellStyle name="Millares 45 2 2 2 2 3 2" xfId="5866" xr:uid="{2A42513A-0928-4491-AE57-52CB164CD4B6}"/>
    <cellStyle name="Millares 45 2 2 2 2 3 2 2" xfId="10434" xr:uid="{0A6603AD-F509-4EBB-90B4-3C1CB55DFC5E}"/>
    <cellStyle name="Millares 45 2 2 2 2 3 3" xfId="8142" xr:uid="{E3EC5E8D-84E2-4725-AD64-1AC2D89868FE}"/>
    <cellStyle name="Millares 45 2 2 2 2 4" xfId="4857" xr:uid="{3E293012-CF55-4BAE-ABA0-D5DEEE720DA1}"/>
    <cellStyle name="Millares 45 2 2 2 2 4 2" xfId="9425" xr:uid="{D108F2CA-B9A8-4DFE-B052-2C06E6F22E7B}"/>
    <cellStyle name="Millares 45 2 2 2 2 5" xfId="7133" xr:uid="{50CA6FC9-A4E8-4DC3-AB4D-1CBAF99014FC}"/>
    <cellStyle name="Millares 45 2 2 2 3" xfId="3631" xr:uid="{DC598FD6-844E-4AF7-BBF8-74288C8D66F2}"/>
    <cellStyle name="Millares 45 2 2 2 3 2" xfId="6035" xr:uid="{4B96C0E4-9AB1-4600-AFA0-0653927DC71B}"/>
    <cellStyle name="Millares 45 2 2 2 3 2 2" xfId="10603" xr:uid="{CEE40378-5DAE-4DDB-A701-750E7DDEABB3}"/>
    <cellStyle name="Millares 45 2 2 2 3 3" xfId="8311" xr:uid="{3BA6BD75-F667-4974-958C-BD3375A51799}"/>
    <cellStyle name="Millares 45 2 2 2 4" xfId="3014" xr:uid="{4ED90E9D-DA5B-4F8A-93C7-B042CD4B8316}"/>
    <cellStyle name="Millares 45 2 2 2 4 2" xfId="5438" xr:uid="{7B3857CD-3F02-423F-BD24-7849B5E9B839}"/>
    <cellStyle name="Millares 45 2 2 2 4 2 2" xfId="10006" xr:uid="{12FED95C-F2A5-49AE-8533-D1458F420C77}"/>
    <cellStyle name="Millares 45 2 2 2 4 3" xfId="7714" xr:uid="{81E486F9-0AA7-48A2-83AC-A85839F21517}"/>
    <cellStyle name="Millares 45 2 2 2 5" xfId="4429" xr:uid="{5CFDE34E-A3FD-4A70-9D75-701EE922E088}"/>
    <cellStyle name="Millares 45 2 2 2 5 2" xfId="8997" xr:uid="{A01C0323-410B-460D-AFCA-C5CE33471B76}"/>
    <cellStyle name="Millares 45 2 2 2 6" xfId="6705" xr:uid="{4045CF8F-5B7F-4C87-8ACC-256488BD2E00}"/>
    <cellStyle name="Millares 45 2 2 3" xfId="1602" xr:uid="{2A2610C2-79FE-4B17-BB15-35F713D32126}"/>
    <cellStyle name="Millares 45 2 2 3 2" xfId="1612" xr:uid="{EF3CD8F7-4DE2-4DC8-982D-6A483948A2A1}"/>
    <cellStyle name="Millares 45 2 2 3 2 2" xfId="1615" xr:uid="{1CEF8D2E-AF3A-465C-883A-6BF66931EDF7}"/>
    <cellStyle name="Millares 45 2 2 3 2 2 2" xfId="1905" xr:uid="{0AD3B7B5-2D3A-449D-B400-2E816A53AD72}"/>
    <cellStyle name="Millares 45 2 2 3 2 2 2 2" xfId="2447" xr:uid="{AD58E160-D729-4E78-BF84-B7640B127F80}"/>
    <cellStyle name="Millares 45 2 2 3 2 2 2 2 2" xfId="3856" xr:uid="{8E40B71C-D674-476A-9DA2-D0874A7E293F}"/>
    <cellStyle name="Millares 45 2 2 3 2 2 2 2 2 2" xfId="6150" xr:uid="{183E6183-93BD-44AA-9780-C254A09A5518}"/>
    <cellStyle name="Millares 45 2 2 3 2 2 2 2 2 2 2" xfId="10718" xr:uid="{0A9A4345-44BA-45A5-BE87-D51A4F26E959}"/>
    <cellStyle name="Millares 45 2 2 3 2 2 2 2 2 3" xfId="8426" xr:uid="{331BAAB0-80E2-4511-9B40-8F15D70A5EC6}"/>
    <cellStyle name="Millares 45 2 2 3 2 2 2 2 3" xfId="3458" xr:uid="{98B68471-A885-4536-8747-7BDC0C61DE8F}"/>
    <cellStyle name="Millares 45 2 2 3 2 2 2 2 3 2" xfId="5882" xr:uid="{DE4DB4E6-DE3A-44B7-A704-DC4B8B3563B1}"/>
    <cellStyle name="Millares 45 2 2 3 2 2 2 2 3 2 2" xfId="10450" xr:uid="{1184F909-19D4-4604-BB31-7DD021472159}"/>
    <cellStyle name="Millares 45 2 2 3 2 2 2 2 3 3" xfId="8158" xr:uid="{099525A7-B5E3-40FB-914A-C2A2790B4BFC}"/>
    <cellStyle name="Millares 45 2 2 3 2 2 2 2 4" xfId="4873" xr:uid="{52510988-1CBD-40A9-AF90-20E51F53CC64}"/>
    <cellStyle name="Millares 45 2 2 3 2 2 2 2 4 2" xfId="9441" xr:uid="{27964947-EAFE-49B3-8557-BDEF557B0086}"/>
    <cellStyle name="Millares 45 2 2 3 2 2 2 2 5" xfId="7149" xr:uid="{73F72907-C9CE-4330-B0E3-181F8BB27204}"/>
    <cellStyle name="Millares 45 2 2 3 2 2 2 3" xfId="3642" xr:uid="{A3C2DC33-76E1-464F-A692-1AD0849AE2B5}"/>
    <cellStyle name="Millares 45 2 2 3 2 2 2 3 2" xfId="6046" xr:uid="{EEA8C837-7E66-4E0D-9CE0-42E41D7E3D70}"/>
    <cellStyle name="Millares 45 2 2 3 2 2 2 3 2 2" xfId="10614" xr:uid="{16DF869F-74E0-400C-A209-62BA9EBD3F59}"/>
    <cellStyle name="Millares 45 2 2 3 2 2 2 3 3" xfId="8322" xr:uid="{E83CC1A9-60DF-4BB2-B803-E21288706859}"/>
    <cellStyle name="Millares 45 2 2 3 2 2 2 4" xfId="3030" xr:uid="{B9DB769F-4893-4279-ABBC-5D628AF254F3}"/>
    <cellStyle name="Millares 45 2 2 3 2 2 2 4 2" xfId="5454" xr:uid="{123FB076-7DD8-4953-AEC4-591884E990F8}"/>
    <cellStyle name="Millares 45 2 2 3 2 2 2 4 2 2" xfId="10022" xr:uid="{5C50BF69-E137-4238-84F0-F978451A3866}"/>
    <cellStyle name="Millares 45 2 2 3 2 2 2 4 3" xfId="7730" xr:uid="{BA11AEDF-A5F6-48B5-965A-55EF2DA72C0E}"/>
    <cellStyle name="Millares 45 2 2 3 2 2 2 5" xfId="4445" xr:uid="{2CABBAA9-AC35-46D8-BC02-4AD32294EA6E}"/>
    <cellStyle name="Millares 45 2 2 3 2 2 2 5 2" xfId="9013" xr:uid="{EB6D9A1F-F3B4-4CBD-B8FA-BB08EB2DD0F9}"/>
    <cellStyle name="Millares 45 2 2 3 2 2 2 6" xfId="6721" xr:uid="{ADBDDA0F-0C59-4E3C-B791-DA03EB0DD26D}"/>
    <cellStyle name="Millares 45 2 2 3 2 2 3" xfId="2260" xr:uid="{D09B6B9F-BD33-416D-9511-1B6BC521808F}"/>
    <cellStyle name="Millares 45 2 2 3 2 2 3 2" xfId="3823" xr:uid="{7C36388B-9CD4-4CBC-9BE4-57BF041C54E4}"/>
    <cellStyle name="Millares 45 2 2 3 2 2 3 2 2" xfId="6117" xr:uid="{316357FE-AF6E-4FEA-924C-3E1593442B75}"/>
    <cellStyle name="Millares 45 2 2 3 2 2 3 2 2 2" xfId="10685" xr:uid="{B35EA97F-BA5F-4DF2-ADB7-9C804C81AEEC}"/>
    <cellStyle name="Millares 45 2 2 3 2 2 3 2 3" xfId="8393" xr:uid="{37DB7491-BBB5-4BA0-80D2-BE85E0BDF77D}"/>
    <cellStyle name="Millares 45 2 2 3 2 2 3 3" xfId="3271" xr:uid="{19406A51-AAFB-43F7-8945-48880CC67B2F}"/>
    <cellStyle name="Millares 45 2 2 3 2 2 3 3 2" xfId="5695" xr:uid="{5ADEA93D-F56B-4525-B39F-3B30FE3F2B40}"/>
    <cellStyle name="Millares 45 2 2 3 2 2 3 3 2 2" xfId="10263" xr:uid="{EF2A48CD-DDB1-4737-B87C-D2D7987F8B0C}"/>
    <cellStyle name="Millares 45 2 2 3 2 2 3 3 3" xfId="7971" xr:uid="{CB07632F-54FF-4696-B710-C3AD794E9116}"/>
    <cellStyle name="Millares 45 2 2 3 2 2 3 4" xfId="4686" xr:uid="{842C8FD9-2258-4477-BB50-856A1EE13AA5}"/>
    <cellStyle name="Millares 45 2 2 3 2 2 3 4 2" xfId="9254" xr:uid="{BF770483-E495-46F0-8FC7-87FE08AD669F}"/>
    <cellStyle name="Millares 45 2 2 3 2 2 3 5" xfId="6962" xr:uid="{13D49CCE-8A71-4B4B-BDC1-A793B558D6CB}"/>
    <cellStyle name="Millares 45 2 2 3 2 2 4" xfId="3611" xr:uid="{BE4F8F1B-FE1C-4FBD-B421-670FCBA1E64F}"/>
    <cellStyle name="Millares 45 2 2 3 2 2 4 2" xfId="6015" xr:uid="{1E3D1D8F-19E7-41A1-84AD-F30D8E13AC5D}"/>
    <cellStyle name="Millares 45 2 2 3 2 2 4 2 2" xfId="10583" xr:uid="{6880EDD6-9419-4DA9-AEC0-26E8C354012D}"/>
    <cellStyle name="Millares 45 2 2 3 2 2 4 3" xfId="8291" xr:uid="{BD63EE55-4EA6-4BDE-9380-8F50375390E3}"/>
    <cellStyle name="Millares 45 2 2 3 2 2 5" xfId="2843" xr:uid="{7A56709E-2A4D-487F-AFBC-B983C59F69A2}"/>
    <cellStyle name="Millares 45 2 2 3 2 2 5 2" xfId="5267" xr:uid="{39A1A828-D0A1-463D-B836-E316D2C3029F}"/>
    <cellStyle name="Millares 45 2 2 3 2 2 5 2 2" xfId="9835" xr:uid="{4F8852D2-F5CD-4832-96EF-0B5585C8D40C}"/>
    <cellStyle name="Millares 45 2 2 3 2 2 5 3" xfId="7543" xr:uid="{6E204D79-E2B0-43BC-84FE-7352F25837B4}"/>
    <cellStyle name="Millares 45 2 2 3 2 2 6" xfId="4258" xr:uid="{13D53C01-8117-4D4D-8C03-3AA37F164FB7}"/>
    <cellStyle name="Millares 45 2 2 3 2 2 6 2" xfId="8826" xr:uid="{1355474D-C493-4733-9CA4-2C3AC41F6F5A}"/>
    <cellStyle name="Millares 45 2 2 3 2 2 7" xfId="6534" xr:uid="{EA97C832-89C8-4D77-9E2E-F975E252BC81}"/>
    <cellStyle name="Millares 45 2 2 3 2 3" xfId="1618" xr:uid="{D4BD7777-3613-47A5-92D2-3920521DFDC2}"/>
    <cellStyle name="Millares 45 2 2 3 2 3 10" xfId="4261" xr:uid="{00835D10-6E41-433A-B668-3544D6FFE0D4}"/>
    <cellStyle name="Millares 45 2 2 3 2 3 10 2" xfId="8829" xr:uid="{E060F505-046B-4A8C-8418-8A134E572458}"/>
    <cellStyle name="Millares 45 2 2 3 2 3 11" xfId="6537" xr:uid="{69FDA9BB-C700-4F85-8A92-D45933C7A2C9}"/>
    <cellStyle name="Millares 45 2 2 3 2 3 2" xfId="1635" xr:uid="{4EBA8BC1-2BDE-4820-A62A-63FBC3055DEC}"/>
    <cellStyle name="Millares 45 2 2 3 2 3 2 2" xfId="1925" xr:uid="{3ABBA862-DAF2-43CB-9593-F34F37563780}"/>
    <cellStyle name="Millares 45 2 2 3 2 3 2 2 2" xfId="2467" xr:uid="{8AC6C382-76C9-49A2-91CE-4374FEC9CE8C}"/>
    <cellStyle name="Millares 45 2 2 3 2 3 2 2 2 2" xfId="3864" xr:uid="{28CAFCA8-12BE-451D-8E89-4160D4A999F4}"/>
    <cellStyle name="Millares 45 2 2 3 2 3 2 2 2 2 2" xfId="6158" xr:uid="{654539D4-826F-4ADC-9469-7F7B317A1BA8}"/>
    <cellStyle name="Millares 45 2 2 3 2 3 2 2 2 2 2 2" xfId="10726" xr:uid="{9A0016BE-4C64-48E2-B61A-30C7F0DACC9B}"/>
    <cellStyle name="Millares 45 2 2 3 2 3 2 2 2 2 3" xfId="8434" xr:uid="{3304A796-1A99-45AF-8B5E-26A5C4E03583}"/>
    <cellStyle name="Millares 45 2 2 3 2 3 2 2 2 3" xfId="3478" xr:uid="{1662C926-2F04-48B8-A6F3-3F4E6875A784}"/>
    <cellStyle name="Millares 45 2 2 3 2 3 2 2 2 3 2" xfId="5902" xr:uid="{BD62B654-CB43-46BD-B31A-859A02DA3D28}"/>
    <cellStyle name="Millares 45 2 2 3 2 3 2 2 2 3 2 2" xfId="10470" xr:uid="{D3853E17-F9BF-4854-8D25-938344484EFF}"/>
    <cellStyle name="Millares 45 2 2 3 2 3 2 2 2 3 3" xfId="8178" xr:uid="{7E5FC338-9E4A-43BF-9463-F3C8897AB92F}"/>
    <cellStyle name="Millares 45 2 2 3 2 3 2 2 2 4" xfId="4893" xr:uid="{FE67A49D-E0A0-4A3E-97F5-B9A186B3CE3A}"/>
    <cellStyle name="Millares 45 2 2 3 2 3 2 2 2 4 2" xfId="9461" xr:uid="{AE246ADD-84F7-4867-BEE5-C2DCB0320F6B}"/>
    <cellStyle name="Millares 45 2 2 3 2 3 2 2 2 5" xfId="7169" xr:uid="{19FFF78B-C7CA-4778-BEFD-6EE43C09DB93}"/>
    <cellStyle name="Millares 45 2 2 3 2 3 2 2 3" xfId="3650" xr:uid="{784366AC-EC3C-4B2B-9A23-F63D838848B9}"/>
    <cellStyle name="Millares 45 2 2 3 2 3 2 2 3 2" xfId="6054" xr:uid="{37E02C88-5259-42DA-B989-983F677175ED}"/>
    <cellStyle name="Millares 45 2 2 3 2 3 2 2 3 2 2" xfId="10622" xr:uid="{4EC0F249-26AC-4EFB-803A-D15C4779DF81}"/>
    <cellStyle name="Millares 45 2 2 3 2 3 2 2 3 3" xfId="8330" xr:uid="{12D5D6D7-75DD-4CB3-835A-EA4DC5CE6263}"/>
    <cellStyle name="Millares 45 2 2 3 2 3 2 2 4" xfId="3050" xr:uid="{6AFAFDA5-312B-4E73-A7CC-25FE7FBFE80B}"/>
    <cellStyle name="Millares 45 2 2 3 2 3 2 2 4 2" xfId="5474" xr:uid="{36A5AE78-015B-4078-9623-45F3BE0FA760}"/>
    <cellStyle name="Millares 45 2 2 3 2 3 2 2 4 2 2" xfId="10042" xr:uid="{C77C000F-3882-493F-8866-BEA9E207AED7}"/>
    <cellStyle name="Millares 45 2 2 3 2 3 2 2 4 3" xfId="7750" xr:uid="{434ED6C3-C0D7-49A1-9550-574AD8398893}"/>
    <cellStyle name="Millares 45 2 2 3 2 3 2 2 5" xfId="4465" xr:uid="{F059791A-7916-44C7-A1E8-3E8562B9CA90}"/>
    <cellStyle name="Millares 45 2 2 3 2 3 2 2 5 2" xfId="9033" xr:uid="{1AE8AA33-D13C-4AB0-B93D-F13610EF4FDC}"/>
    <cellStyle name="Millares 45 2 2 3 2 3 2 2 6" xfId="6741" xr:uid="{53E3FD0A-D649-4411-A02B-93A60FB48B59}"/>
    <cellStyle name="Millares 45 2 2 3 2 3 2 3" xfId="2280" xr:uid="{6C4BB08A-02C3-4B1C-8DC0-5872D262A458}"/>
    <cellStyle name="Millares 45 2 2 3 2 3 2 3 2" xfId="3831" xr:uid="{020A9F6B-E5E4-43BC-804A-200213B5EBFC}"/>
    <cellStyle name="Millares 45 2 2 3 2 3 2 3 2 2" xfId="6125" xr:uid="{0E191C2F-8782-4EDC-AA89-66D9092D4550}"/>
    <cellStyle name="Millares 45 2 2 3 2 3 2 3 2 2 2" xfId="10693" xr:uid="{DF526DFA-42DD-483E-9A97-52C142089872}"/>
    <cellStyle name="Millares 45 2 2 3 2 3 2 3 2 3" xfId="8401" xr:uid="{01E4E886-59BC-4905-8385-8EC5DBF0F0AC}"/>
    <cellStyle name="Millares 45 2 2 3 2 3 2 3 3" xfId="3291" xr:uid="{10555D7B-1EAD-496C-A7C9-E16C454E56C7}"/>
    <cellStyle name="Millares 45 2 2 3 2 3 2 3 3 2" xfId="5715" xr:uid="{C09C6151-BCAB-4C64-B75B-177223DD525C}"/>
    <cellStyle name="Millares 45 2 2 3 2 3 2 3 3 2 2" xfId="10283" xr:uid="{E385DB71-9D53-4ACC-9F0D-D63390AE75D5}"/>
    <cellStyle name="Millares 45 2 2 3 2 3 2 3 3 3" xfId="7991" xr:uid="{0B04323A-C39E-42A4-9CD7-9253653C3D74}"/>
    <cellStyle name="Millares 45 2 2 3 2 3 2 3 4" xfId="4706" xr:uid="{10DD9DE5-7549-485E-ABFF-AEA74FD28CC6}"/>
    <cellStyle name="Millares 45 2 2 3 2 3 2 3 4 2" xfId="9274" xr:uid="{B9A60ED9-65DD-4C38-81C1-80046A9ABADE}"/>
    <cellStyle name="Millares 45 2 2 3 2 3 2 3 5" xfId="6982" xr:uid="{D342FF25-047D-4CB7-9307-AE7897110425}"/>
    <cellStyle name="Millares 45 2 2 3 2 3 2 4" xfId="3619" xr:uid="{6533055B-41AF-4264-AD16-24401CC1E8FC}"/>
    <cellStyle name="Millares 45 2 2 3 2 3 2 4 2" xfId="6023" xr:uid="{16DCF8B4-D2A7-4F4E-8ACE-57E4100B683B}"/>
    <cellStyle name="Millares 45 2 2 3 2 3 2 4 2 2" xfId="10591" xr:uid="{335991A6-F4A9-411E-AF7C-E7BCCFC60653}"/>
    <cellStyle name="Millares 45 2 2 3 2 3 2 4 3" xfId="8299" xr:uid="{3EA3DC45-7435-465E-8C72-79C624AC635E}"/>
    <cellStyle name="Millares 45 2 2 3 2 3 2 5" xfId="2863" xr:uid="{AFC10A1A-FA94-41DB-AE54-1CE9D0FE3BD4}"/>
    <cellStyle name="Millares 45 2 2 3 2 3 2 5 2" xfId="5287" xr:uid="{6EAB93D5-5DA7-4B2C-9A1B-F0FC73C534C1}"/>
    <cellStyle name="Millares 45 2 2 3 2 3 2 5 2 2" xfId="9855" xr:uid="{FC84E6A9-CAF1-4C8D-900F-21F7BEB97516}"/>
    <cellStyle name="Millares 45 2 2 3 2 3 2 5 3" xfId="7563" xr:uid="{8D69F1EF-9F74-4B24-AE06-9C8D1844D92D}"/>
    <cellStyle name="Millares 45 2 2 3 2 3 2 6" xfId="4278" xr:uid="{D9EDCFF8-6EE5-4D39-B020-E56859B338A9}"/>
    <cellStyle name="Millares 45 2 2 3 2 3 2 6 2" xfId="8846" xr:uid="{191C3371-7117-425C-AE18-9815DC72B10F}"/>
    <cellStyle name="Millares 45 2 2 3 2 3 2 7" xfId="6554" xr:uid="{1493213A-E681-4F4F-82E2-BE4ACC6222D7}"/>
    <cellStyle name="Millares 45 2 2 3 2 3 3" xfId="1908" xr:uid="{A5084377-F6A6-4B08-8C44-75CE844D0688}"/>
    <cellStyle name="Millares 45 2 2 3 2 3 3 2" xfId="2450" xr:uid="{E31D4062-E5F0-49C8-80D2-BDAC31EC25B4}"/>
    <cellStyle name="Millares 45 2 2 3 2 3 3 2 2" xfId="3857" xr:uid="{4EEE25B6-26C9-40EE-9C5D-9C47E3F4A8E7}"/>
    <cellStyle name="Millares 45 2 2 3 2 3 3 2 2 2" xfId="6151" xr:uid="{5FC3B104-36D7-4E1C-8FA8-D0D67F96CC46}"/>
    <cellStyle name="Millares 45 2 2 3 2 3 3 2 2 2 2" xfId="10719" xr:uid="{3BFBD99F-85CE-407D-82F8-3619C059A2AD}"/>
    <cellStyle name="Millares 45 2 2 3 2 3 3 2 2 3" xfId="8427" xr:uid="{9C76B505-72B7-4BBB-B924-F9799DDB627E}"/>
    <cellStyle name="Millares 45 2 2 3 2 3 3 2 3" xfId="3461" xr:uid="{F28641EA-5516-4E67-AF0F-0E8C558641EE}"/>
    <cellStyle name="Millares 45 2 2 3 2 3 3 2 3 2" xfId="5885" xr:uid="{9DA6DD49-CE08-455E-A0F0-8D4F2B9D48DA}"/>
    <cellStyle name="Millares 45 2 2 3 2 3 3 2 3 2 2" xfId="10453" xr:uid="{6ADDD130-A0E1-4EC0-ADE8-8F632AA4EAFE}"/>
    <cellStyle name="Millares 45 2 2 3 2 3 3 2 3 3" xfId="8161" xr:uid="{A420C90D-D612-4F85-95F4-53D24219D8D4}"/>
    <cellStyle name="Millares 45 2 2 3 2 3 3 2 4" xfId="4876" xr:uid="{EEB9F25A-5E72-4762-83CC-203DE4A68526}"/>
    <cellStyle name="Millares 45 2 2 3 2 3 3 2 4 2" xfId="9444" xr:uid="{DA78477A-208D-4A83-9F5B-F802D6568BEC}"/>
    <cellStyle name="Millares 45 2 2 3 2 3 3 2 5" xfId="7152" xr:uid="{C1AD358C-FD08-4F64-97F5-E95AA395B981}"/>
    <cellStyle name="Millares 45 2 2 3 2 3 3 3" xfId="3643" xr:uid="{D6F3B713-EE6D-4715-B2B6-11F2F0CB899D}"/>
    <cellStyle name="Millares 45 2 2 3 2 3 3 3 2" xfId="6047" xr:uid="{21DEAE5B-6753-4CF0-B1DC-170A295B273A}"/>
    <cellStyle name="Millares 45 2 2 3 2 3 3 3 2 2" xfId="10615" xr:uid="{A8DF90BC-D1A4-43EE-8C23-7F517742670E}"/>
    <cellStyle name="Millares 45 2 2 3 2 3 3 3 3" xfId="8323" xr:uid="{6FCA511E-327A-423F-9529-76B6E9B108A8}"/>
    <cellStyle name="Millares 45 2 2 3 2 3 3 4" xfId="3033" xr:uid="{D00E7550-B6D3-4279-9E03-985FC94F58F8}"/>
    <cellStyle name="Millares 45 2 2 3 2 3 3 4 2" xfId="5457" xr:uid="{1A4A34C9-F76D-4DE1-80E4-616250877B94}"/>
    <cellStyle name="Millares 45 2 2 3 2 3 3 4 2 2" xfId="10025" xr:uid="{A2FD23C0-1ACA-4E46-94E3-EBDDDBD72F0D}"/>
    <cellStyle name="Millares 45 2 2 3 2 3 3 4 3" xfId="7733" xr:uid="{72EBCA1E-3379-4744-8CB0-A3F294ACFE3D}"/>
    <cellStyle name="Millares 45 2 2 3 2 3 3 5" xfId="4448" xr:uid="{D552BD02-82D2-4F77-B9C3-7A9D303C6A05}"/>
    <cellStyle name="Millares 45 2 2 3 2 3 3 5 2" xfId="9016" xr:uid="{315F94B0-BD47-484B-9E02-FAF68A5C1685}"/>
    <cellStyle name="Millares 45 2 2 3 2 3 3 6" xfId="6724" xr:uid="{7D390B90-2670-4A24-901A-782917D8A75A}"/>
    <cellStyle name="Millares 45 2 2 3 2 3 4" xfId="1021" xr:uid="{00000000-0005-0000-0000-000029020000}"/>
    <cellStyle name="Millares 45 2 2 3 2 3 4 10" xfId="1186" xr:uid="{00000000-0005-0000-0000-00002A020000}"/>
    <cellStyle name="Millares 45 2 2 3 2 3 4 11" xfId="1207" xr:uid="{00000000-0005-0000-0000-00002B020000}"/>
    <cellStyle name="Millares 45 2 2 3 2 3 4 12" xfId="1220" xr:uid="{00000000-0005-0000-0000-00002C020000}"/>
    <cellStyle name="Millares 45 2 2 3 2 3 4 13" xfId="1238" xr:uid="{00000000-0005-0000-0000-00002D020000}"/>
    <cellStyle name="Millares 45 2 2 3 2 3 4 14" xfId="1271" xr:uid="{4F3B00C8-9D2B-4E26-8F34-6812DD44F954}"/>
    <cellStyle name="Millares 45 2 2 3 2 3 4 15" xfId="1288" xr:uid="{F0ECAA36-697C-4E0A-B848-E979340A4401}"/>
    <cellStyle name="Millares 45 2 2 3 2 3 4 16" xfId="1315" xr:uid="{9C7178CF-28D2-4D1B-A0B8-68F7FF822C54}"/>
    <cellStyle name="Millares 45 2 2 3 2 3 4 17" xfId="1941" xr:uid="{606DB5C4-0B5E-44A2-A24C-698BF885D123}"/>
    <cellStyle name="Millares 45 2 2 3 2 3 4 2" xfId="1030" xr:uid="{00000000-0005-0000-0000-00002E020000}"/>
    <cellStyle name="Millares 45 2 2 3 2 3 4 2 2" xfId="3871" xr:uid="{4FF9E722-C358-43EB-A2BE-6690091F47AB}"/>
    <cellStyle name="Millares 45 2 2 3 2 3 4 2 2 2" xfId="6165" xr:uid="{6EE53943-B683-4715-83BF-3BDE76024BC6}"/>
    <cellStyle name="Millares 45 2 2 3 2 3 4 2 2 2 2" xfId="10733" xr:uid="{AED531DF-EB78-4760-BE8D-CECF8BD3345F}"/>
    <cellStyle name="Millares 45 2 2 3 2 3 4 2 2 3" xfId="8441" xr:uid="{5E733A17-7C68-44C0-A413-3BDFFF7F965F}"/>
    <cellStyle name="Millares 45 2 2 3 2 3 4 2 3" xfId="3491" xr:uid="{332B6C82-591B-4675-9C2E-1F5D31BF9567}"/>
    <cellStyle name="Millares 45 2 2 3 2 3 4 2 3 2" xfId="5915" xr:uid="{BE591B9A-2035-4E63-88CE-69E3B945BE9C}"/>
    <cellStyle name="Millares 45 2 2 3 2 3 4 2 3 2 2" xfId="10483" xr:uid="{19FE5548-5C0E-4AC9-B3D4-4353867EBFA3}"/>
    <cellStyle name="Millares 45 2 2 3 2 3 4 2 3 3" xfId="8191" xr:uid="{1E61FDB1-1888-4FEF-B6AD-F28FB21D0DDA}"/>
    <cellStyle name="Millares 45 2 2 3 2 3 4 2 4" xfId="4906" xr:uid="{9DC292D4-FA18-47C5-B074-03726E2AFDDF}"/>
    <cellStyle name="Millares 45 2 2 3 2 3 4 2 4 2" xfId="9474" xr:uid="{5AF53B17-AB33-4BF7-80FA-6EAB9E967004}"/>
    <cellStyle name="Millares 45 2 2 3 2 3 4 2 5" xfId="7182" xr:uid="{BD651505-E4DC-4D0C-8493-D53BA643031C}"/>
    <cellStyle name="Millares 45 2 2 3 2 3 4 2 6" xfId="2480" xr:uid="{ECA013E9-E92D-46B6-920D-40DFDB606205}"/>
    <cellStyle name="Millares 45 2 2 3 2 3 4 3" xfId="1044" xr:uid="{00000000-0005-0000-0000-00002F020000}"/>
    <cellStyle name="Millares 45 2 2 3 2 3 4 3 2" xfId="3658" xr:uid="{AD529514-F212-43A8-B854-7EF519C76E02}"/>
    <cellStyle name="Millares 45 2 2 3 2 3 4 3 2 2" xfId="6061" xr:uid="{AA3A2DBC-BB5D-405F-AC6F-01A00CC71B4D}"/>
    <cellStyle name="Millares 45 2 2 3 2 3 4 3 2 2 2" xfId="10629" xr:uid="{774E3D39-FFA1-4CA8-8C14-9003D0EA8B2E}"/>
    <cellStyle name="Millares 45 2 2 3 2 3 4 3 2 3" xfId="8337" xr:uid="{A0A1221E-DB55-4C24-8109-3DBB7067B6B4}"/>
    <cellStyle name="Millares 45 2 2 3 2 3 4 3 3" xfId="5025" xr:uid="{C19FBC58-163C-4ADB-83B2-46567781C3BD}"/>
    <cellStyle name="Millares 45 2 2 3 2 3 4 3 3 2" xfId="9593" xr:uid="{8B04C673-2894-4D80-89EE-C04772847CF9}"/>
    <cellStyle name="Millares 45 2 2 3 2 3 4 3 4" xfId="7301" xr:uid="{167C8336-EAD5-4280-AD55-964DD531CD2B}"/>
    <cellStyle name="Millares 45 2 2 3 2 3 4 3 5" xfId="2599" xr:uid="{BF86E4BC-5AA7-4DDE-89D0-BE42BBF45434}"/>
    <cellStyle name="Millares 45 2 2 3 2 3 4 4" xfId="1057" xr:uid="{00000000-0005-0000-0000-000030020000}"/>
    <cellStyle name="Millares 45 2 2 3 2 3 4 4 2" xfId="5487" xr:uid="{CDA12DF4-F4A7-4A8C-A970-D351C23248EC}"/>
    <cellStyle name="Millares 45 2 2 3 2 3 4 4 2 2" xfId="10055" xr:uid="{78B58F6B-BF00-48C4-8284-80674388D604}"/>
    <cellStyle name="Millares 45 2 2 3 2 3 4 4 3" xfId="7763" xr:uid="{8AA1C550-0F6A-42DE-9484-A9C783B2FE20}"/>
    <cellStyle name="Millares 45 2 2 3 2 3 4 4 4" xfId="3063" xr:uid="{A05A0723-180E-41CF-85BA-A92612F6296B}"/>
    <cellStyle name="Millares 45 2 2 3 2 3 4 5" xfId="1075" xr:uid="{00000000-0005-0000-0000-000031020000}"/>
    <cellStyle name="Millares 45 2 2 3 2 3 4 5 2" xfId="9046" xr:uid="{D0F98A1E-7542-43F8-8543-B9D762C7B13E}"/>
    <cellStyle name="Millares 45 2 2 3 2 3 4 5 3" xfId="4478" xr:uid="{8F5796FF-3D96-4B78-A038-1675893B6ECE}"/>
    <cellStyle name="Millares 45 2 2 3 2 3 4 6" xfId="1107" xr:uid="{00000000-0005-0000-0000-000032020000}"/>
    <cellStyle name="Millares 45 2 2 3 2 3 4 6 2" xfId="6754" xr:uid="{A85C33FF-044F-4F3F-AFB4-6898EF5A8B9E}"/>
    <cellStyle name="Millares 45 2 2 3 2 3 4 7" xfId="1137" xr:uid="{00000000-0005-0000-0000-000033020000}"/>
    <cellStyle name="Millares 45 2 2 3 2 3 4 8" xfId="1156" xr:uid="{00000000-0005-0000-0000-000034020000}"/>
    <cellStyle name="Millares 45 2 2 3 2 3 4 9" xfId="1172" xr:uid="{00000000-0005-0000-0000-000035020000}"/>
    <cellStyle name="Millares 45 2 2 3 2 3 5" xfId="1949" xr:uid="{8412D2D2-459B-4DE7-9758-881E42551996}"/>
    <cellStyle name="Millares 45 2 2 3 2 3 5 2" xfId="2487" xr:uid="{E5C877A9-8FAF-4289-86B0-CA12B2ED04E4}"/>
    <cellStyle name="Millares 45 2 2 3 2 3 5 2 2" xfId="3875" xr:uid="{25AD4270-55F3-4E6E-B176-08B47BF2DA3B}"/>
    <cellStyle name="Millares 45 2 2 3 2 3 5 2 2 2" xfId="6169" xr:uid="{594EFDC3-01C4-4A65-AACA-E9D517FEF7D8}"/>
    <cellStyle name="Millares 45 2 2 3 2 3 5 2 2 2 2" xfId="10737" xr:uid="{BDDEF3B0-4AEF-4445-B3EC-3F2E9D7413A9}"/>
    <cellStyle name="Millares 45 2 2 3 2 3 5 2 2 3" xfId="8445" xr:uid="{DDA90EEB-0B1F-411F-8A12-54E0B47EA64A}"/>
    <cellStyle name="Millares 45 2 2 3 2 3 5 2 3" xfId="3498" xr:uid="{AB4D9D1F-DEE3-4272-BE56-D49BD60F0173}"/>
    <cellStyle name="Millares 45 2 2 3 2 3 5 2 3 2" xfId="5922" xr:uid="{669CF514-D4F8-4D4C-A729-A0B2E26EAABC}"/>
    <cellStyle name="Millares 45 2 2 3 2 3 5 2 3 2 2" xfId="10490" xr:uid="{0B3D474D-1C3C-439E-89F6-1B090FBD9BE9}"/>
    <cellStyle name="Millares 45 2 2 3 2 3 5 2 3 3" xfId="8198" xr:uid="{78862643-65FD-40E4-8541-2A50BB230B3A}"/>
    <cellStyle name="Millares 45 2 2 3 2 3 5 2 4" xfId="4913" xr:uid="{732528F9-A26A-41F1-83D6-088854EDBDA2}"/>
    <cellStyle name="Millares 45 2 2 3 2 3 5 2 4 2" xfId="9481" xr:uid="{99C97306-CBF5-49E2-B692-C4855B99CFA3}"/>
    <cellStyle name="Millares 45 2 2 3 2 3 5 2 5" xfId="7189" xr:uid="{B8EDB07C-A792-4464-B9A6-6E8B99914D5A}"/>
    <cellStyle name="Millares 45 2 2 3 2 3 5 3" xfId="3660" xr:uid="{38346ED9-AA0C-442F-844B-85F54A27DC65}"/>
    <cellStyle name="Millares 45 2 2 3 2 3 5 3 2" xfId="6063" xr:uid="{18E25199-4A16-4C4C-81AC-B1531BEB6ABE}"/>
    <cellStyle name="Millares 45 2 2 3 2 3 5 3 2 2" xfId="10631" xr:uid="{01D5E758-D9BA-4931-814A-86B1E98C0130}"/>
    <cellStyle name="Millares 45 2 2 3 2 3 5 3 3" xfId="8339" xr:uid="{747DEA15-9641-41E6-B390-3D99E0E08F12}"/>
    <cellStyle name="Millares 45 2 2 3 2 3 5 4" xfId="3070" xr:uid="{11CF2278-523D-49AF-A336-EDF6BDBCC737}"/>
    <cellStyle name="Millares 45 2 2 3 2 3 5 4 2" xfId="5494" xr:uid="{F1CB2CA0-933A-43EB-B24F-F7C79A31B738}"/>
    <cellStyle name="Millares 45 2 2 3 2 3 5 4 2 2" xfId="10062" xr:uid="{0E081FCA-1702-4271-9973-076D69566574}"/>
    <cellStyle name="Millares 45 2 2 3 2 3 5 4 3" xfId="7770" xr:uid="{B9F8C9FC-7C6A-47C9-BE63-C0B33D4231AE}"/>
    <cellStyle name="Millares 45 2 2 3 2 3 5 5" xfId="4485" xr:uid="{2F5205D1-7AE6-41C6-9CB5-DE5BAF339AEA}"/>
    <cellStyle name="Millares 45 2 2 3 2 3 5 5 2" xfId="9053" xr:uid="{4545F94A-01E9-4186-A7C7-8782557DDF98}"/>
    <cellStyle name="Millares 45 2 2 3 2 3 5 6" xfId="6761" xr:uid="{2A721C7C-EDB1-4203-882E-A8DB237E44E8}"/>
    <cellStyle name="Millares 45 2 2 3 2 3 6" xfId="1960" xr:uid="{866FD3F1-B959-4C72-BABE-B773402B58DB}"/>
    <cellStyle name="Millares 45 2 2 3 2 3 6 2" xfId="1963" xr:uid="{C92936CF-2844-405D-87C0-DAA38D7C1AF5}"/>
    <cellStyle name="Millares 45 2 2 3 2 3 6 2 2" xfId="2500" xr:uid="{C532F6D1-803A-41D0-8815-460BA6317FA0}"/>
    <cellStyle name="Millares 45 2 2 3 2 3 6 2 2 2" xfId="3880" xr:uid="{DB3A6F38-5D85-44D0-9BAD-194AACE422D5}"/>
    <cellStyle name="Millares 45 2 2 3 2 3 6 2 2 2 2" xfId="6174" xr:uid="{6A53537D-2C1F-4D52-B450-9F91D1C76349}"/>
    <cellStyle name="Millares 45 2 2 3 2 3 6 2 2 2 2 2" xfId="10742" xr:uid="{34BFD4F6-090E-4CB7-8A87-60669544B916}"/>
    <cellStyle name="Millares 45 2 2 3 2 3 6 2 2 2 3" xfId="8450" xr:uid="{7A1D3758-EF11-421F-96CA-8EEC1AF46F7F}"/>
    <cellStyle name="Millares 45 2 2 3 2 3 6 2 2 3" xfId="3511" xr:uid="{9C739957-57D2-491D-B528-E76723C10D83}"/>
    <cellStyle name="Millares 45 2 2 3 2 3 6 2 2 3 2" xfId="5935" xr:uid="{623BAA12-11C3-4C85-B650-4A792AD3F9FE}"/>
    <cellStyle name="Millares 45 2 2 3 2 3 6 2 2 3 2 2" xfId="10503" xr:uid="{7159B0A9-419D-4994-9027-D24E0FBC7606}"/>
    <cellStyle name="Millares 45 2 2 3 2 3 6 2 2 3 3" xfId="8211" xr:uid="{012AE833-2526-4B26-A452-4B90BBD90B44}"/>
    <cellStyle name="Millares 45 2 2 3 2 3 6 2 2 4" xfId="4926" xr:uid="{177BC894-3B49-48AE-A850-557571914958}"/>
    <cellStyle name="Millares 45 2 2 3 2 3 6 2 2 4 2" xfId="9494" xr:uid="{5D85B376-D850-47C6-9393-599C1F812FEE}"/>
    <cellStyle name="Millares 45 2 2 3 2 3 6 2 2 5" xfId="7202" xr:uid="{F91E72C0-353C-4DD2-999F-3E4E1741606D}"/>
    <cellStyle name="Millares 45 2 2 3 2 3 6 2 3" xfId="3665" xr:uid="{042F7142-8BDD-43C7-9B90-7C5DBB6E44BB}"/>
    <cellStyle name="Millares 45 2 2 3 2 3 6 2 3 2" xfId="6068" xr:uid="{D5DD2E93-D9F8-49B7-A08F-24B72DF7A301}"/>
    <cellStyle name="Millares 45 2 2 3 2 3 6 2 3 2 2" xfId="10636" xr:uid="{6084E66D-623B-42C1-BA62-C13A8B2A9D1B}"/>
    <cellStyle name="Millares 45 2 2 3 2 3 6 2 3 3" xfId="8344" xr:uid="{AF61585F-50C2-46C8-A6FA-5F6F7C10D654}"/>
    <cellStyle name="Millares 45 2 2 3 2 3 6 2 4" xfId="3083" xr:uid="{6ADD82A9-1304-4DDE-9829-0C64457F9E40}"/>
    <cellStyle name="Millares 45 2 2 3 2 3 6 2 4 2" xfId="5507" xr:uid="{A3E1B09C-AFEC-4FCE-85C6-8000F0EC54D0}"/>
    <cellStyle name="Millares 45 2 2 3 2 3 6 2 4 2 2" xfId="10075" xr:uid="{0B6586EB-C78F-4F6C-AE42-D8987A1E54CD}"/>
    <cellStyle name="Millares 45 2 2 3 2 3 6 2 4 3" xfId="7783" xr:uid="{5F4E73D9-2842-4FA3-B72F-3B5EC1533F04}"/>
    <cellStyle name="Millares 45 2 2 3 2 3 6 2 5" xfId="4498" xr:uid="{1E5DF6F4-FF09-41F3-BE24-53B5B3D72CDC}"/>
    <cellStyle name="Millares 45 2 2 3 2 3 6 2 5 2" xfId="9066" xr:uid="{8C4C2C07-86DD-4BDC-819B-DEE6E5F32CF1}"/>
    <cellStyle name="Millares 45 2 2 3 2 3 6 2 6" xfId="6774" xr:uid="{D43B92E1-E76E-4744-AC91-05D17637A4A3}"/>
    <cellStyle name="Millares 45 2 2 3 2 3 6 3" xfId="2497" xr:uid="{29D59166-1A12-47DF-B6F5-7ABF737AE859}"/>
    <cellStyle name="Millares 45 2 2 3 2 3 6 3 2" xfId="3879" xr:uid="{3CB29A71-E90C-4572-A654-D63675B471B8}"/>
    <cellStyle name="Millares 45 2 2 3 2 3 6 3 2 2" xfId="6173" xr:uid="{C3EE32ED-A99C-475E-998E-8925763FBFCF}"/>
    <cellStyle name="Millares 45 2 2 3 2 3 6 3 2 2 2" xfId="10741" xr:uid="{39EA1C23-D32E-4450-BE02-BC9E636FBDBF}"/>
    <cellStyle name="Millares 45 2 2 3 2 3 6 3 2 3" xfId="8449" xr:uid="{09B5986F-727F-4005-8639-DECA249E3A94}"/>
    <cellStyle name="Millares 45 2 2 3 2 3 6 3 3" xfId="3508" xr:uid="{79D1D141-EA81-4587-AA21-9902D895FF61}"/>
    <cellStyle name="Millares 45 2 2 3 2 3 6 3 3 2" xfId="5932" xr:uid="{17F7A3BB-778A-4C4D-ADF8-CC1FABB9E1D1}"/>
    <cellStyle name="Millares 45 2 2 3 2 3 6 3 3 2 2" xfId="10500" xr:uid="{A2E405C9-CDF4-4D77-A599-ED4CA0285A56}"/>
    <cellStyle name="Millares 45 2 2 3 2 3 6 3 3 3" xfId="8208" xr:uid="{4CC90B62-6EDE-49CD-B64A-BE7FAC586C01}"/>
    <cellStyle name="Millares 45 2 2 3 2 3 6 3 4" xfId="4923" xr:uid="{0FCAFF2D-3A2D-4CEC-B44F-A12AC812F565}"/>
    <cellStyle name="Millares 45 2 2 3 2 3 6 3 4 2" xfId="9491" xr:uid="{0E30CE01-6411-4F5C-A39B-8834C2175364}"/>
    <cellStyle name="Millares 45 2 2 3 2 3 6 3 5" xfId="7199" xr:uid="{773833B4-BAFA-406F-B1B8-AAE83A314C4A}"/>
    <cellStyle name="Millares 45 2 2 3 2 3 6 4" xfId="3664" xr:uid="{EE22E382-56AD-48B8-A53F-D394F5398656}"/>
    <cellStyle name="Millares 45 2 2 3 2 3 6 4 2" xfId="6067" xr:uid="{B623A0D0-625F-448B-A11E-92FF0DD61AE6}"/>
    <cellStyle name="Millares 45 2 2 3 2 3 6 4 2 2" xfId="10635" xr:uid="{24C83919-0361-4B63-84A7-68E7B1DEA3F1}"/>
    <cellStyle name="Millares 45 2 2 3 2 3 6 4 3" xfId="8343" xr:uid="{A4D35E67-D3EC-40A7-BB5E-877F6BEE49B8}"/>
    <cellStyle name="Millares 45 2 2 3 2 3 6 5" xfId="3080" xr:uid="{DB20193A-092C-4A69-A1EB-17F893A14E12}"/>
    <cellStyle name="Millares 45 2 2 3 2 3 6 5 2" xfId="5504" xr:uid="{80ECFB2D-C11C-4A87-94C9-665E2B6FED9E}"/>
    <cellStyle name="Millares 45 2 2 3 2 3 6 5 2 2" xfId="10072" xr:uid="{79F5091C-57AB-46AF-9887-49821AA394CA}"/>
    <cellStyle name="Millares 45 2 2 3 2 3 6 5 3" xfId="7780" xr:uid="{2C6B6326-ECFD-42B8-B38A-C2F74F4BE196}"/>
    <cellStyle name="Millares 45 2 2 3 2 3 6 6" xfId="4495" xr:uid="{A841A1D2-39E5-4E9F-B92C-79B70CEE6D97}"/>
    <cellStyle name="Millares 45 2 2 3 2 3 6 6 2" xfId="9063" xr:uid="{6AB1C445-1B05-4229-9481-8EBAA75C0980}"/>
    <cellStyle name="Millares 45 2 2 3 2 3 6 7" xfId="6771" xr:uid="{33BAA588-9C2A-4ABE-8375-E82563000675}"/>
    <cellStyle name="Millares 45 2 2 3 2 3 7" xfId="2263" xr:uid="{3F45E7CF-3853-4B81-A14A-DF2137A702E6}"/>
    <cellStyle name="Millares 45 2 2 3 2 3 7 2" xfId="3824" xr:uid="{A7F75ED1-A39B-47AD-AC59-988C66DED2A5}"/>
    <cellStyle name="Millares 45 2 2 3 2 3 7 2 2" xfId="6118" xr:uid="{37001906-A5AC-4CFE-90CD-62CEFB4BB11D}"/>
    <cellStyle name="Millares 45 2 2 3 2 3 7 2 2 2" xfId="10686" xr:uid="{70A05C4E-0537-483A-B108-EBCD91EF07F6}"/>
    <cellStyle name="Millares 45 2 2 3 2 3 7 2 3" xfId="8394" xr:uid="{0B387BD6-0D05-40D1-BDA6-150BE5B279D6}"/>
    <cellStyle name="Millares 45 2 2 3 2 3 7 3" xfId="3274" xr:uid="{4FED9DEA-BB6D-4F83-9CC8-7F192FC67B01}"/>
    <cellStyle name="Millares 45 2 2 3 2 3 7 3 2" xfId="5698" xr:uid="{3CAD2CC6-CFCA-4979-81C0-9A3A79F4115E}"/>
    <cellStyle name="Millares 45 2 2 3 2 3 7 3 2 2" xfId="10266" xr:uid="{B824BBC9-5270-45F8-87A5-C312F023EBD0}"/>
    <cellStyle name="Millares 45 2 2 3 2 3 7 3 3" xfId="7974" xr:uid="{B4A161B8-011B-424C-B56D-D7F2E356DEC0}"/>
    <cellStyle name="Millares 45 2 2 3 2 3 7 4" xfId="4689" xr:uid="{C34FBAF6-3E02-427A-9CB7-47E58E5B8A0A}"/>
    <cellStyle name="Millares 45 2 2 3 2 3 7 4 2" xfId="9257" xr:uid="{4B065BB6-3E75-4D12-9234-A233DD5A9DD0}"/>
    <cellStyle name="Millares 45 2 2 3 2 3 7 5" xfId="6965" xr:uid="{400EB638-F2F5-4F11-9442-4136A7CB9255}"/>
    <cellStyle name="Millares 45 2 2 3 2 3 8" xfId="3612" xr:uid="{65DF734E-4555-4C1B-BD55-186AE3EAD552}"/>
    <cellStyle name="Millares 45 2 2 3 2 3 8 2" xfId="6016" xr:uid="{DA2F03D6-2763-440F-A89A-1735FD3B55D1}"/>
    <cellStyle name="Millares 45 2 2 3 2 3 8 2 2" xfId="10584" xr:uid="{6706A13A-5B5B-4BD9-B7D9-6CFFBB1D0570}"/>
    <cellStyle name="Millares 45 2 2 3 2 3 8 3" xfId="8292" xr:uid="{AEA79CEB-A95E-4081-8879-C4C30289763A}"/>
    <cellStyle name="Millares 45 2 2 3 2 3 9" xfId="2846" xr:uid="{DB038F98-61E6-4A66-9FC4-6FE17DBAAA8E}"/>
    <cellStyle name="Millares 45 2 2 3 2 3 9 2" xfId="5270" xr:uid="{3E067D85-8A39-4849-9F41-69F31C1FF11C}"/>
    <cellStyle name="Millares 45 2 2 3 2 3 9 2 2" xfId="9838" xr:uid="{65F317FD-B28A-43F3-B268-401F7A227565}"/>
    <cellStyle name="Millares 45 2 2 3 2 3 9 3" xfId="7546" xr:uid="{CA0C654A-B34D-477D-BB4A-755F6A91A0F9}"/>
    <cellStyle name="Millares 45 2 2 3 2 4" xfId="1902" xr:uid="{6FE68F25-1B85-4793-AED0-0635D0A016A0}"/>
    <cellStyle name="Millares 45 2 2 3 2 4 2" xfId="2444" xr:uid="{D03862EF-167F-482D-A232-2A2E9711F880}"/>
    <cellStyle name="Millares 45 2 2 3 2 4 2 2" xfId="3854" xr:uid="{43CBB016-0BE7-4703-B2CF-D9CBC00DF012}"/>
    <cellStyle name="Millares 45 2 2 3 2 4 2 2 2" xfId="6148" xr:uid="{AB4C76D6-3911-4500-B11B-B36C1C42E88C}"/>
    <cellStyle name="Millares 45 2 2 3 2 4 2 2 2 2" xfId="10716" xr:uid="{9955673D-8D56-43B1-98DD-6B43603F01EE}"/>
    <cellStyle name="Millares 45 2 2 3 2 4 2 2 3" xfId="8424" xr:uid="{05AD1F33-76E4-4597-9106-ED7D6FEFEDDD}"/>
    <cellStyle name="Millares 45 2 2 3 2 4 2 3" xfId="3455" xr:uid="{36AD2CE2-16D0-4DD9-8130-2C904016B106}"/>
    <cellStyle name="Millares 45 2 2 3 2 4 2 3 2" xfId="5879" xr:uid="{FFBCE274-CB8A-4438-9014-666312BA615C}"/>
    <cellStyle name="Millares 45 2 2 3 2 4 2 3 2 2" xfId="10447" xr:uid="{73BFBA8C-1D1E-4659-80CD-966B7DC50532}"/>
    <cellStyle name="Millares 45 2 2 3 2 4 2 3 3" xfId="8155" xr:uid="{ACF1032F-0377-4AB6-BED2-0EED85055643}"/>
    <cellStyle name="Millares 45 2 2 3 2 4 2 4" xfId="4870" xr:uid="{F7886C74-2153-4948-BD08-5391B7F8C2CB}"/>
    <cellStyle name="Millares 45 2 2 3 2 4 2 4 2" xfId="9438" xr:uid="{29A5C9EE-5719-43A7-B1A9-83C4093FD56C}"/>
    <cellStyle name="Millares 45 2 2 3 2 4 2 5" xfId="7146" xr:uid="{55F9C684-C52B-4BC2-B391-E9A785D2F5E3}"/>
    <cellStyle name="Millares 45 2 2 3 2 4 3" xfId="3640" xr:uid="{1B5FBC04-2EA1-4365-A8C0-003B5BE94EED}"/>
    <cellStyle name="Millares 45 2 2 3 2 4 3 2" xfId="6044" xr:uid="{6F1BC11A-0631-4673-8338-7DA489D9C2A1}"/>
    <cellStyle name="Millares 45 2 2 3 2 4 3 2 2" xfId="10612" xr:uid="{02A6B863-0ADB-44C6-950B-1B769EB1EE08}"/>
    <cellStyle name="Millares 45 2 2 3 2 4 3 3" xfId="8320" xr:uid="{A351F265-6127-4EBD-A555-E60AA73710C6}"/>
    <cellStyle name="Millares 45 2 2 3 2 4 4" xfId="3027" xr:uid="{6EA17938-36A3-48DB-815F-72EA4EF9D76E}"/>
    <cellStyle name="Millares 45 2 2 3 2 4 4 2" xfId="5451" xr:uid="{671B3540-CBDB-4796-AE56-C96F5CEBAC19}"/>
    <cellStyle name="Millares 45 2 2 3 2 4 4 2 2" xfId="10019" xr:uid="{285C2251-3FAD-4662-9625-1A702425C037}"/>
    <cellStyle name="Millares 45 2 2 3 2 4 4 3" xfId="7727" xr:uid="{90A95F16-5162-4C6E-843B-BD9DA3D35F98}"/>
    <cellStyle name="Millares 45 2 2 3 2 4 5" xfId="4442" xr:uid="{7FE10C48-3E29-4387-8CF3-596D0F5B8D0C}"/>
    <cellStyle name="Millares 45 2 2 3 2 4 5 2" xfId="9010" xr:uid="{C42ECD6A-84C8-4918-A7B2-FD47451488C2}"/>
    <cellStyle name="Millares 45 2 2 3 2 4 6" xfId="6718" xr:uid="{C2BB6288-FE8D-4A7C-B355-324B2A21F747}"/>
    <cellStyle name="Millares 45 2 2 3 2 5" xfId="2257" xr:uid="{ED0CA929-2959-4D46-A256-E2B2ACECD45F}"/>
    <cellStyle name="Millares 45 2 2 3 2 5 2" xfId="3821" xr:uid="{724427D6-831D-450B-B5E6-C176B1FAB0CB}"/>
    <cellStyle name="Millares 45 2 2 3 2 5 2 2" xfId="6115" xr:uid="{A2AC6AFB-DB28-4E80-95C8-40335DF849CD}"/>
    <cellStyle name="Millares 45 2 2 3 2 5 2 2 2" xfId="10683" xr:uid="{9BCA6BF5-C43B-49E2-87C3-CFEAED17313C}"/>
    <cellStyle name="Millares 45 2 2 3 2 5 2 3" xfId="8391" xr:uid="{5635DB57-5C7C-4273-AA07-8D5AF0348993}"/>
    <cellStyle name="Millares 45 2 2 3 2 5 3" xfId="3268" xr:uid="{2B54153D-7042-4118-BBEA-3058E8669B20}"/>
    <cellStyle name="Millares 45 2 2 3 2 5 3 2" xfId="5692" xr:uid="{B815C07D-6CCE-46E1-872E-AD32B9A714B1}"/>
    <cellStyle name="Millares 45 2 2 3 2 5 3 2 2" xfId="10260" xr:uid="{2619EDDE-3ADA-4F47-9B7A-D086B252ADE8}"/>
    <cellStyle name="Millares 45 2 2 3 2 5 3 3" xfId="7968" xr:uid="{FE2A3515-44EE-4AE2-826A-970D12E5FD00}"/>
    <cellStyle name="Millares 45 2 2 3 2 5 4" xfId="4683" xr:uid="{619AE5D3-CBF5-47E5-9921-1A68263801DF}"/>
    <cellStyle name="Millares 45 2 2 3 2 5 4 2" xfId="9251" xr:uid="{5781E02A-0506-4FCC-80E0-4309B4DBA7BA}"/>
    <cellStyle name="Millares 45 2 2 3 2 5 5" xfId="6959" xr:uid="{1363303F-C384-427F-8FFD-0546A45044A6}"/>
    <cellStyle name="Millares 45 2 2 3 2 6" xfId="3609" xr:uid="{13DAF6C9-05CF-4CD0-8C80-B142AC8A2DFC}"/>
    <cellStyle name="Millares 45 2 2 3 2 6 2" xfId="6013" xr:uid="{6868169D-0110-4DB4-BFC1-BBDDE312A8F8}"/>
    <cellStyle name="Millares 45 2 2 3 2 6 2 2" xfId="10581" xr:uid="{A3FA0155-FBCE-4E0B-8496-F2DC98732D03}"/>
    <cellStyle name="Millares 45 2 2 3 2 6 3" xfId="8289" xr:uid="{658DDD21-4150-48E2-B0CA-2CE17569953F}"/>
    <cellStyle name="Millares 45 2 2 3 2 7" xfId="2840" xr:uid="{7B3ED587-3ADA-4C14-AA57-4F11FBE9EB11}"/>
    <cellStyle name="Millares 45 2 2 3 2 7 2" xfId="5264" xr:uid="{A998C47D-32B2-474E-9389-0923FF22988F}"/>
    <cellStyle name="Millares 45 2 2 3 2 7 2 2" xfId="9832" xr:uid="{7C199CEC-A730-4381-923E-8B9D31CBB8D1}"/>
    <cellStyle name="Millares 45 2 2 3 2 7 3" xfId="7540" xr:uid="{BC456C9B-62FE-467F-BCA3-02ED7A71C1A9}"/>
    <cellStyle name="Millares 45 2 2 3 2 8" xfId="4255" xr:uid="{88791B1C-E7D2-4E14-868E-07EFA900B711}"/>
    <cellStyle name="Millares 45 2 2 3 2 8 2" xfId="8823" xr:uid="{E24C14CD-9987-4B55-A8F2-058DF64387B0}"/>
    <cellStyle name="Millares 45 2 2 3 2 9" xfId="6531" xr:uid="{4AD9561A-4F34-4F2A-B848-8820BB6919AF}"/>
    <cellStyle name="Millares 45 2 2 3 3" xfId="1892" xr:uid="{3781E45B-BFD0-4A56-85F4-D7D58E65F4F4}"/>
    <cellStyle name="Millares 45 2 2 3 3 2" xfId="2434" xr:uid="{6F196AE0-E5CF-4BD8-A89A-B340EE23A0BF}"/>
    <cellStyle name="Millares 45 2 2 3 3 2 2" xfId="3847" xr:uid="{AD1FA632-C53A-40D7-A37A-17EC178AC58A}"/>
    <cellStyle name="Millares 45 2 2 3 3 2 2 2" xfId="6141" xr:uid="{D134C22C-3F1B-4B53-A47F-9C3C6F939627}"/>
    <cellStyle name="Millares 45 2 2 3 3 2 2 2 2" xfId="10709" xr:uid="{52D1E3E1-A244-4F9E-A188-FC2276531345}"/>
    <cellStyle name="Millares 45 2 2 3 3 2 2 3" xfId="8417" xr:uid="{35423640-051C-4DB4-87EE-7C666A987DAF}"/>
    <cellStyle name="Millares 45 2 2 3 3 2 3" xfId="3445" xr:uid="{C8C29163-D42B-4C49-A200-427A1521F8AA}"/>
    <cellStyle name="Millares 45 2 2 3 3 2 3 2" xfId="5869" xr:uid="{DF5C5264-F041-4173-9AB1-2F528D7C8F31}"/>
    <cellStyle name="Millares 45 2 2 3 3 2 3 2 2" xfId="10437" xr:uid="{18D2133B-6A47-424E-9244-FC52983243A0}"/>
    <cellStyle name="Millares 45 2 2 3 3 2 3 3" xfId="8145" xr:uid="{F90AB7CF-29EB-49CF-90AB-3E8BF0EA3160}"/>
    <cellStyle name="Millares 45 2 2 3 3 2 4" xfId="4860" xr:uid="{77D5EF19-8F41-437B-B0AE-1CC2FAF1E681}"/>
    <cellStyle name="Millares 45 2 2 3 3 2 4 2" xfId="9428" xr:uid="{A7A8D6AA-A855-4F7D-BC03-74AB23EE4A22}"/>
    <cellStyle name="Millares 45 2 2 3 3 2 5" xfId="7136" xr:uid="{84E3CCE3-3CBF-456E-9E70-C3F76EB9E782}"/>
    <cellStyle name="Millares 45 2 2 3 3 3" xfId="3633" xr:uid="{2680FD94-779C-45AC-90C6-E1E3DE023CBC}"/>
    <cellStyle name="Millares 45 2 2 3 3 3 2" xfId="6037" xr:uid="{BE4CA3B8-5861-4504-BDBF-B1B11517B7D7}"/>
    <cellStyle name="Millares 45 2 2 3 3 3 2 2" xfId="10605" xr:uid="{D16DB62D-25F1-4575-AFB9-54D94A106473}"/>
    <cellStyle name="Millares 45 2 2 3 3 3 3" xfId="8313" xr:uid="{E0D347A5-867A-4B34-AF8D-9029D9E26D32}"/>
    <cellStyle name="Millares 45 2 2 3 3 4" xfId="3017" xr:uid="{9356099C-132F-4DF9-ABE9-A6E9AF4D0112}"/>
    <cellStyle name="Millares 45 2 2 3 3 4 2" xfId="5441" xr:uid="{0D5F01E0-0065-412C-87EA-01B8D20CB521}"/>
    <cellStyle name="Millares 45 2 2 3 3 4 2 2" xfId="10009" xr:uid="{3D7D5804-C3C1-4BDD-82F9-F5E80BB98973}"/>
    <cellStyle name="Millares 45 2 2 3 3 4 3" xfId="7717" xr:uid="{B7DD54AF-3404-4633-8A2F-42E78E8F68B7}"/>
    <cellStyle name="Millares 45 2 2 3 3 5" xfId="4432" xr:uid="{473BF388-AACF-4881-A096-C618A00D9E5A}"/>
    <cellStyle name="Millares 45 2 2 3 3 5 2" xfId="9000" xr:uid="{9AC07B53-3284-468D-9D63-E08AE31C6614}"/>
    <cellStyle name="Millares 45 2 2 3 3 6" xfId="6708" xr:uid="{6AEE4BC5-E66A-4729-89E6-4CD4CFEFB28F}"/>
    <cellStyle name="Millares 45 2 2 3 4" xfId="2247" xr:uid="{DF98CD7C-44ED-4841-9749-1234E16B9D59}"/>
    <cellStyle name="Millares 45 2 2 3 4 2" xfId="3814" xr:uid="{E89EC7DE-E4D0-4A4C-940C-E68B82134D82}"/>
    <cellStyle name="Millares 45 2 2 3 4 2 2" xfId="6108" xr:uid="{835DC0E8-8E6A-438A-BA8C-CC89684D2093}"/>
    <cellStyle name="Millares 45 2 2 3 4 2 2 2" xfId="10676" xr:uid="{A5DF510C-8FE7-4613-9C7F-AEEB336BEC3B}"/>
    <cellStyle name="Millares 45 2 2 3 4 2 3" xfId="8384" xr:uid="{D50DECB3-97FB-469D-9FBC-B01CFFFAA911}"/>
    <cellStyle name="Millares 45 2 2 3 4 3" xfId="3258" xr:uid="{F9BB1D59-D63A-4CD8-92C1-E1AAFCFDDA2E}"/>
    <cellStyle name="Millares 45 2 2 3 4 3 2" xfId="5682" xr:uid="{F7F40B0B-4369-4E89-AA2E-F655FAE4B7BF}"/>
    <cellStyle name="Millares 45 2 2 3 4 3 2 2" xfId="10250" xr:uid="{75273EDD-1ABA-4824-B648-88678A42AA09}"/>
    <cellStyle name="Millares 45 2 2 3 4 3 3" xfId="7958" xr:uid="{D62FF107-8121-4191-90CA-20F6C34698DB}"/>
    <cellStyle name="Millares 45 2 2 3 4 4" xfId="4673" xr:uid="{C2FD201F-56AB-47F3-AE44-1C4AC0DE4442}"/>
    <cellStyle name="Millares 45 2 2 3 4 4 2" xfId="9241" xr:uid="{CE1F3BB8-DBC2-4984-95C4-4B5D157E7D90}"/>
    <cellStyle name="Millares 45 2 2 3 4 5" xfId="6949" xr:uid="{7A0552A6-138E-4812-B3FE-D1504770C7C2}"/>
    <cellStyle name="Millares 45 2 2 3 5" xfId="3602" xr:uid="{0D51495B-B3DB-45C8-967F-B90F1E4882E1}"/>
    <cellStyle name="Millares 45 2 2 3 5 2" xfId="6006" xr:uid="{81281BE8-7BA6-48B2-96D9-696A380D8CF2}"/>
    <cellStyle name="Millares 45 2 2 3 5 2 2" xfId="10574" xr:uid="{058404FC-ECD3-4327-B9C7-1C5AB5CE1CD3}"/>
    <cellStyle name="Millares 45 2 2 3 5 3" xfId="8282" xr:uid="{816A9661-C057-4150-9F18-FCC18C900B70}"/>
    <cellStyle name="Millares 45 2 2 3 6" xfId="2830" xr:uid="{1332AA03-5197-46C3-8E07-D228ED821D74}"/>
    <cellStyle name="Millares 45 2 2 3 6 2" xfId="5254" xr:uid="{3CDEB63F-79F6-4CA7-88EB-BFC6A5442448}"/>
    <cellStyle name="Millares 45 2 2 3 6 2 2" xfId="9822" xr:uid="{8A41311C-22E9-4FDB-BC67-7C2F7AB52043}"/>
    <cellStyle name="Millares 45 2 2 3 6 3" xfId="7530" xr:uid="{41A32AE0-2B01-4C80-AC6A-57387B408AFB}"/>
    <cellStyle name="Millares 45 2 2 3 7" xfId="4245" xr:uid="{A6D8DC48-15C5-4143-8814-9A07EE542BC0}"/>
    <cellStyle name="Millares 45 2 2 3 7 2" xfId="8813" xr:uid="{EF063130-93E6-4ABD-BC75-CAE843D00E38}"/>
    <cellStyle name="Millares 45 2 2 3 8" xfId="6521" xr:uid="{453449DC-4E83-429A-8153-76380AD796E5}"/>
    <cellStyle name="Millares 45 2 2 4" xfId="2244" xr:uid="{714B15CC-9872-45E3-B428-C2573FF0879D}"/>
    <cellStyle name="Millares 45 2 2 4 2" xfId="3812" xr:uid="{99682897-9F52-4079-9D2B-955C8EF6A3D4}"/>
    <cellStyle name="Millares 45 2 2 4 2 2" xfId="6106" xr:uid="{3820B08C-F1DF-4106-A8F2-37F38762955F}"/>
    <cellStyle name="Millares 45 2 2 4 2 2 2" xfId="10674" xr:uid="{7CF4C3D6-2DAB-4944-9364-9D8E00CC5237}"/>
    <cellStyle name="Millares 45 2 2 4 2 3" xfId="8382" xr:uid="{AFA8B1CE-8E95-403F-A233-F96128B7EB56}"/>
    <cellStyle name="Millares 45 2 2 4 3" xfId="3255" xr:uid="{0C06F5BC-60C2-4B40-85FD-DB89FF0527F0}"/>
    <cellStyle name="Millares 45 2 2 4 3 2" xfId="5679" xr:uid="{56518F96-DC51-4194-9F05-A5A033B771E6}"/>
    <cellStyle name="Millares 45 2 2 4 3 2 2" xfId="10247" xr:uid="{1D920DBB-D51E-44E0-BB77-F518878E4796}"/>
    <cellStyle name="Millares 45 2 2 4 3 3" xfId="7955" xr:uid="{51AF0209-E881-471F-A7FD-47B433CDE38A}"/>
    <cellStyle name="Millares 45 2 2 4 4" xfId="4670" xr:uid="{A7FBF703-B247-484E-8297-EA0DF178C381}"/>
    <cellStyle name="Millares 45 2 2 4 4 2" xfId="9238" xr:uid="{8FB101FE-CE84-4069-A588-9C5FA6E84795}"/>
    <cellStyle name="Millares 45 2 2 4 5" xfId="6946" xr:uid="{68C98935-FD64-45E2-93BC-4B9CDFD90356}"/>
    <cellStyle name="Millares 45 2 2 5" xfId="3600" xr:uid="{340390D8-39BB-433F-8CC0-850443ED2EAC}"/>
    <cellStyle name="Millares 45 2 2 5 2" xfId="6004" xr:uid="{0E1F5266-EE3F-436C-A28A-2F40DF4D5A9C}"/>
    <cellStyle name="Millares 45 2 2 5 2 2" xfId="10572" xr:uid="{E52CB663-85C4-4C8C-BC7A-EA64C50A7EEB}"/>
    <cellStyle name="Millares 45 2 2 5 3" xfId="8280" xr:uid="{B082F8EA-F9AF-48AA-B44F-61F17D55C740}"/>
    <cellStyle name="Millares 45 2 2 6" xfId="2827" xr:uid="{7F236235-0471-49F6-B893-DB93DE94A09B}"/>
    <cellStyle name="Millares 45 2 2 6 2" xfId="5251" xr:uid="{E836559F-4C1A-4D9E-B59C-95D777DE5A0F}"/>
    <cellStyle name="Millares 45 2 2 6 2 2" xfId="9819" xr:uid="{881077CF-149C-4B62-A4E5-CD79E162ACF8}"/>
    <cellStyle name="Millares 45 2 2 6 3" xfId="7527" xr:uid="{E78AD4F3-00AD-4EB6-B300-B8F57CCCE01F}"/>
    <cellStyle name="Millares 45 2 2 7" xfId="4242" xr:uid="{C777B31E-1B3A-492B-B551-012979F7411B}"/>
    <cellStyle name="Millares 45 2 2 7 2" xfId="8810" xr:uid="{D1E225E6-7E5A-4CEE-8890-5E03414D3FF0}"/>
    <cellStyle name="Millares 45 2 2 8" xfId="6518" xr:uid="{A1EA723A-6532-4C1F-8035-A82433986D5B}"/>
    <cellStyle name="Millares 45 2 3" xfId="1885" xr:uid="{A1C296BF-2032-471E-A098-AE094C8E7D2C}"/>
    <cellStyle name="Millares 45 2 3 2" xfId="2427" xr:uid="{9011D4D9-0CA2-4E35-BD77-ACD39B61EE57}"/>
    <cellStyle name="Millares 45 2 3 2 2" xfId="3843" xr:uid="{13F48679-F745-4B0E-9595-C01EF57BA108}"/>
    <cellStyle name="Millares 45 2 3 2 2 2" xfId="6137" xr:uid="{8637F6D2-C5F7-415F-BEF6-297F57FD9408}"/>
    <cellStyle name="Millares 45 2 3 2 2 2 2" xfId="10705" xr:uid="{D81D7FAB-87F7-46FC-A3D6-978F8F6BE422}"/>
    <cellStyle name="Millares 45 2 3 2 2 3" xfId="8413" xr:uid="{0D7BE145-637A-4A89-A6DA-77394802F520}"/>
    <cellStyle name="Millares 45 2 3 2 3" xfId="3438" xr:uid="{C55762B8-093D-4B5A-89CF-FDA8E5184C3B}"/>
    <cellStyle name="Millares 45 2 3 2 3 2" xfId="5862" xr:uid="{30D133EC-06FE-4BF4-A3C6-FD5E67269067}"/>
    <cellStyle name="Millares 45 2 3 2 3 2 2" xfId="10430" xr:uid="{B550563C-4FBF-48A1-AFA4-944F8F1FCAA4}"/>
    <cellStyle name="Millares 45 2 3 2 3 3" xfId="8138" xr:uid="{6F2B8A10-2359-439B-AD22-A106963B5183}"/>
    <cellStyle name="Millares 45 2 3 2 4" xfId="4853" xr:uid="{22A46D9A-52F0-45D3-A4EA-0AB399202211}"/>
    <cellStyle name="Millares 45 2 3 2 4 2" xfId="9421" xr:uid="{35F540A1-A359-4A7E-9DA1-C0B146B203EF}"/>
    <cellStyle name="Millares 45 2 3 2 5" xfId="7129" xr:uid="{6CBAAC0F-912B-46FC-918C-261443048E68}"/>
    <cellStyle name="Millares 45 2 3 3" xfId="3629" xr:uid="{F011A193-C895-405A-A16B-AB51B0CC4865}"/>
    <cellStyle name="Millares 45 2 3 3 2" xfId="6033" xr:uid="{755B2617-04F3-4F0B-81DE-0F12E4EE42D7}"/>
    <cellStyle name="Millares 45 2 3 3 2 2" xfId="10601" xr:uid="{55DDCF77-BE92-45A0-9515-B9042CE91663}"/>
    <cellStyle name="Millares 45 2 3 3 3" xfId="8309" xr:uid="{47812265-FF1F-476A-89F2-726DB559FBEF}"/>
    <cellStyle name="Millares 45 2 3 4" xfId="3010" xr:uid="{838EEC80-0303-400E-995F-6F462AE978F3}"/>
    <cellStyle name="Millares 45 2 3 4 2" xfId="5434" xr:uid="{A815ECFD-D06F-422E-A9C4-F778101D4148}"/>
    <cellStyle name="Millares 45 2 3 4 2 2" xfId="10002" xr:uid="{563D78EC-8585-4661-B69E-2A86FA1A44AB}"/>
    <cellStyle name="Millares 45 2 3 4 3" xfId="7710" xr:uid="{A58F756B-B8A5-4429-BE95-5DBFCBEA91DE}"/>
    <cellStyle name="Millares 45 2 3 5" xfId="4425" xr:uid="{78DE4F53-C043-4BFC-AF2D-054E5A233A7A}"/>
    <cellStyle name="Millares 45 2 3 5 2" xfId="8993" xr:uid="{0890390A-3650-412D-960D-36F1623517C7}"/>
    <cellStyle name="Millares 45 2 3 6" xfId="6701" xr:uid="{DCB84C9C-B841-44EE-8471-0A2C4CB361F6}"/>
    <cellStyle name="Millares 45 2 4" xfId="2240" xr:uid="{644D63CF-B803-4BF9-ACF6-EDB955E480A9}"/>
    <cellStyle name="Millares 45 2 4 2" xfId="3810" xr:uid="{0677154A-F3B4-45D8-B988-1156BDF214B3}"/>
    <cellStyle name="Millares 45 2 4 2 2" xfId="6104" xr:uid="{1587573D-90DF-4115-9247-0A4A55CC0599}"/>
    <cellStyle name="Millares 45 2 4 2 2 2" xfId="10672" xr:uid="{B7E10840-3A60-414D-B948-82C373F4D2A5}"/>
    <cellStyle name="Millares 45 2 4 2 3" xfId="8380" xr:uid="{4385279E-5F73-4F90-9452-535E2AF62090}"/>
    <cellStyle name="Millares 45 2 4 3" xfId="3251" xr:uid="{B57BF4E5-7D43-46DF-8E51-58DF9DCD18D8}"/>
    <cellStyle name="Millares 45 2 4 3 2" xfId="5675" xr:uid="{BF0C9776-5423-436A-81D9-F1EFEC60AEC3}"/>
    <cellStyle name="Millares 45 2 4 3 2 2" xfId="10243" xr:uid="{7278C0E3-75F9-4911-B079-88F65BB40DD9}"/>
    <cellStyle name="Millares 45 2 4 3 3" xfId="7951" xr:uid="{AC7EE28D-55E3-4D16-B0C3-2A332BA3FFD6}"/>
    <cellStyle name="Millares 45 2 4 4" xfId="4666" xr:uid="{22DA0BC7-72B8-4A08-8412-A218DE9416C6}"/>
    <cellStyle name="Millares 45 2 4 4 2" xfId="9234" xr:uid="{BA888329-2EBF-4D8D-ADCE-04B3ADA9719D}"/>
    <cellStyle name="Millares 45 2 4 5" xfId="6942" xr:uid="{EEAA4D4E-DD64-4DA2-BBCD-AF8FE30274F0}"/>
    <cellStyle name="Millares 45 2 5" xfId="3598" xr:uid="{CB328DC2-CDEE-47D3-83CC-EB443D21D71E}"/>
    <cellStyle name="Millares 45 2 5 2" xfId="6002" xr:uid="{839E11BB-E534-44FC-9E48-66A148C36D41}"/>
    <cellStyle name="Millares 45 2 5 2 2" xfId="10570" xr:uid="{CE6AE1F1-3CAF-4EB2-AF85-C717134ECB84}"/>
    <cellStyle name="Millares 45 2 5 3" xfId="8278" xr:uid="{29478B57-8F05-4A87-97A9-EEA10225EA98}"/>
    <cellStyle name="Millares 45 2 6" xfId="2823" xr:uid="{7C0B90FB-A037-4DA4-AFF5-786B0E62955B}"/>
    <cellStyle name="Millares 45 2 6 2" xfId="5247" xr:uid="{650157D9-D6C0-47AD-A44E-FCA17F3F1D9D}"/>
    <cellStyle name="Millares 45 2 6 2 2" xfId="9815" xr:uid="{A200461B-533D-43CE-805C-E056BD292982}"/>
    <cellStyle name="Millares 45 2 6 3" xfId="7523" xr:uid="{D1FC03E3-3CC8-40E5-B4D2-583B98CF7C71}"/>
    <cellStyle name="Millares 45 2 7" xfId="4238" xr:uid="{F483753C-6907-4B48-A904-1261E577641B}"/>
    <cellStyle name="Millares 45 2 7 2" xfId="8806" xr:uid="{830C6299-0908-4692-BC87-93079D2F6715}"/>
    <cellStyle name="Millares 45 2 8" xfId="6514" xr:uid="{315074B9-9532-48F5-AB96-40BD641E7184}"/>
    <cellStyle name="Millares 45 3" xfId="1887" xr:uid="{56443563-9AE2-4993-B190-22A6D1D89A73}"/>
    <cellStyle name="Millares 45 3 2" xfId="2429" xr:uid="{45B092C6-39F0-4EA3-9A41-046730964D42}"/>
    <cellStyle name="Millares 45 3 2 2" xfId="3844" xr:uid="{BF86C5E7-6F89-41DE-A1F4-BA5C8087D392}"/>
    <cellStyle name="Millares 45 3 2 2 2" xfId="6138" xr:uid="{4A543138-7D08-4E1D-B691-FCC91104515F}"/>
    <cellStyle name="Millares 45 3 2 2 2 2" xfId="10706" xr:uid="{96229501-7780-47B9-8661-2A725889536A}"/>
    <cellStyle name="Millares 45 3 2 2 3" xfId="8414" xr:uid="{DE443E02-B952-4039-9C09-9FF689B0B20E}"/>
    <cellStyle name="Millares 45 3 2 3" xfId="3440" xr:uid="{6556605F-3406-4111-800D-C36380A7ABFA}"/>
    <cellStyle name="Millares 45 3 2 3 2" xfId="5864" xr:uid="{CD69301E-BFF5-44CC-B5FC-3F2ED6EE0852}"/>
    <cellStyle name="Millares 45 3 2 3 2 2" xfId="10432" xr:uid="{A3856E93-96CA-4505-B936-6930D7791382}"/>
    <cellStyle name="Millares 45 3 2 3 3" xfId="8140" xr:uid="{C47A9831-2221-47C5-A383-6B480717887A}"/>
    <cellStyle name="Millares 45 3 2 4" xfId="4855" xr:uid="{6E9A9E87-630B-4C06-BA1F-D1093EADFAF0}"/>
    <cellStyle name="Millares 45 3 2 4 2" xfId="9423" xr:uid="{E42F6E47-3A59-4EBC-9600-9D03B06ED14A}"/>
    <cellStyle name="Millares 45 3 2 5" xfId="7131" xr:uid="{43444EB9-5BCC-4F2B-A1B3-78D6767DB8C0}"/>
    <cellStyle name="Millares 45 3 3" xfId="3630" xr:uid="{AB14A11E-6D4A-4616-9E36-B1A47885A2B1}"/>
    <cellStyle name="Millares 45 3 3 2" xfId="6034" xr:uid="{226C1CBA-F518-43BE-BC59-889AF0727C22}"/>
    <cellStyle name="Millares 45 3 3 2 2" xfId="10602" xr:uid="{ED0B107B-777F-4FC6-ABDA-5820667E4449}"/>
    <cellStyle name="Millares 45 3 3 3" xfId="8310" xr:uid="{16402201-7A1C-4FB6-AD65-8D2C5A5A72F2}"/>
    <cellStyle name="Millares 45 3 4" xfId="3012" xr:uid="{86FC1600-EF2A-4BBF-A880-D7593C0495AB}"/>
    <cellStyle name="Millares 45 3 4 2" xfId="5436" xr:uid="{9A96329B-8C42-406F-85B0-60B2E3075E9C}"/>
    <cellStyle name="Millares 45 3 4 2 2" xfId="10004" xr:uid="{B4B92368-2A6C-42B8-9A99-6422D76FD8A0}"/>
    <cellStyle name="Millares 45 3 4 3" xfId="7712" xr:uid="{61FA3033-A062-4915-93D7-5F9FDFFA0268}"/>
    <cellStyle name="Millares 45 3 5" xfId="4427" xr:uid="{01640E72-DAAB-497E-93EA-798B945FFB00}"/>
    <cellStyle name="Millares 45 3 5 2" xfId="8995" xr:uid="{3B793E07-E801-4CBD-A58F-85D1B3FD76C8}"/>
    <cellStyle name="Millares 45 3 6" xfId="6703" xr:uid="{F7F0DA07-F272-4F06-956C-02BA246EF679}"/>
    <cellStyle name="Millares 45 4" xfId="2242" xr:uid="{CA5CC08A-0D8C-42E6-A987-F5C1EEA33235}"/>
    <cellStyle name="Millares 45 4 2" xfId="3811" xr:uid="{3BBD8B8D-C37D-4F89-8261-77F47E228DD0}"/>
    <cellStyle name="Millares 45 4 2 2" xfId="6105" xr:uid="{C1DA71E2-E213-4E54-A2E8-BCDAC4EF2A1A}"/>
    <cellStyle name="Millares 45 4 2 2 2" xfId="10673" xr:uid="{79801CD0-E5B4-44E2-AD34-67D3BDFBA15A}"/>
    <cellStyle name="Millares 45 4 2 3" xfId="8381" xr:uid="{0A0D3604-8826-46DD-AF31-5ADE7B46A8EF}"/>
    <cellStyle name="Millares 45 4 3" xfId="3253" xr:uid="{A04C2FD2-06A5-4131-9969-A1A3ED1ED046}"/>
    <cellStyle name="Millares 45 4 3 2" xfId="5677" xr:uid="{2A631F43-5E96-49CB-9286-F68629E38409}"/>
    <cellStyle name="Millares 45 4 3 2 2" xfId="10245" xr:uid="{AB425C2C-203F-430B-9704-050178658DB3}"/>
    <cellStyle name="Millares 45 4 3 3" xfId="7953" xr:uid="{08DE4A78-6B19-4ECD-A171-931FFBD0662D}"/>
    <cellStyle name="Millares 45 4 4" xfId="4668" xr:uid="{11B3EF6C-E399-4B76-AD75-0C409F463247}"/>
    <cellStyle name="Millares 45 4 4 2" xfId="9236" xr:uid="{411F0BC2-A8DD-4362-9825-7836EE11DA6F}"/>
    <cellStyle name="Millares 45 4 5" xfId="6944" xr:uid="{50529423-4AFA-4E5D-8A3B-E4018E51EBE3}"/>
    <cellStyle name="Millares 45 5" xfId="3599" xr:uid="{B0A86BF8-8935-4573-968E-44FAB0AF42F9}"/>
    <cellStyle name="Millares 45 5 2" xfId="6003" xr:uid="{B01095B6-F6AF-46DC-8CD9-63692DA6DD3E}"/>
    <cellStyle name="Millares 45 5 2 2" xfId="10571" xr:uid="{486E60CC-B351-4107-9B0D-2C330ECEABE3}"/>
    <cellStyle name="Millares 45 5 3" xfId="8279" xr:uid="{37688446-FEE8-4C5B-B676-970A9C37AA85}"/>
    <cellStyle name="Millares 45 6" xfId="2825" xr:uid="{44939F79-CE9C-4171-8907-AEFE840C9DC0}"/>
    <cellStyle name="Millares 45 6 2" xfId="5249" xr:uid="{6804DCF6-AAC8-476B-9019-69FF20668EAA}"/>
    <cellStyle name="Millares 45 6 2 2" xfId="9817" xr:uid="{F201388A-6EA6-4726-9297-E026F24F2503}"/>
    <cellStyle name="Millares 45 6 3" xfId="7525" xr:uid="{6BD16C26-C2D1-4AB9-BA96-5F06D006A3FA}"/>
    <cellStyle name="Millares 45 7" xfId="4240" xr:uid="{92AA3D98-EC62-4C4D-A687-BA5AB6A61FA5}"/>
    <cellStyle name="Millares 45 7 2" xfId="8808" xr:uid="{34F84833-4A50-4FED-B2A7-976C292A61BA}"/>
    <cellStyle name="Millares 45 8" xfId="6516" xr:uid="{C73A246B-E15E-46B1-B48B-55CDCE7986E7}"/>
    <cellStyle name="Millares 45 9" xfId="1597" xr:uid="{D32BA80D-228B-4800-ADBF-2CBCFE4E7882}"/>
    <cellStyle name="Millares 46" xfId="949" xr:uid="{00000000-0005-0000-0000-000036020000}"/>
    <cellStyle name="Millares 46 2" xfId="1610" xr:uid="{45807511-C576-4A37-834F-2131DFFA4B92}"/>
    <cellStyle name="Millares 46 2 2" xfId="1900" xr:uid="{8F076CCD-5FA4-4281-96AE-D8BD684828DB}"/>
    <cellStyle name="Millares 46 2 2 2" xfId="2442" xr:uid="{253502CB-75B7-48F6-8E57-8C4C6E198740}"/>
    <cellStyle name="Millares 46 2 2 2 2" xfId="3853" xr:uid="{DFF09996-3783-46EF-B234-98FC366161A2}"/>
    <cellStyle name="Millares 46 2 2 2 2 2" xfId="6147" xr:uid="{755FA7D2-F186-4ADB-88FB-118ED71968CA}"/>
    <cellStyle name="Millares 46 2 2 2 2 2 2" xfId="10715" xr:uid="{BEFFCE76-E317-4F76-A159-E03761BB2729}"/>
    <cellStyle name="Millares 46 2 2 2 2 3" xfId="8423" xr:uid="{186EBB4F-3B6B-494C-B610-E71C7FC3C8FF}"/>
    <cellStyle name="Millares 46 2 2 2 3" xfId="3453" xr:uid="{7961A087-5737-435D-A8E6-EB0435FDE4FE}"/>
    <cellStyle name="Millares 46 2 2 2 3 2" xfId="5877" xr:uid="{A6154724-03F6-4F4B-B5CE-CA4C8D96A461}"/>
    <cellStyle name="Millares 46 2 2 2 3 2 2" xfId="10445" xr:uid="{1A0957C2-7FD0-44F0-99D1-61CFC4BEE72F}"/>
    <cellStyle name="Millares 46 2 2 2 3 3" xfId="8153" xr:uid="{7CCA23F3-A876-4FDF-AE0B-145AB2E14D0A}"/>
    <cellStyle name="Millares 46 2 2 2 4" xfId="4868" xr:uid="{82F8F9A4-0FC5-4429-9A73-8A69A8A28F5B}"/>
    <cellStyle name="Millares 46 2 2 2 4 2" xfId="9436" xr:uid="{1228E645-74C1-4AB4-A0BC-90A1C01CFA69}"/>
    <cellStyle name="Millares 46 2 2 2 5" xfId="7144" xr:uid="{5ED33FA2-283A-4938-BD6D-CDA839F0C367}"/>
    <cellStyle name="Millares 46 2 2 3" xfId="3639" xr:uid="{7A7A5C4F-CE4F-42A5-B74F-58EAE080DAC8}"/>
    <cellStyle name="Millares 46 2 2 3 2" xfId="6043" xr:uid="{26FE6153-BD87-4EA2-9C18-7DE12E982E73}"/>
    <cellStyle name="Millares 46 2 2 3 2 2" xfId="10611" xr:uid="{1BFC8F5F-825B-4291-A75B-4F09342D7653}"/>
    <cellStyle name="Millares 46 2 2 3 3" xfId="8319" xr:uid="{199A227E-CD57-4489-93E5-D906C427FA95}"/>
    <cellStyle name="Millares 46 2 2 4" xfId="3025" xr:uid="{A2EBEEA6-3F52-476B-AB6E-FE43A7982900}"/>
    <cellStyle name="Millares 46 2 2 4 2" xfId="5449" xr:uid="{1118B77D-3C75-41F6-AD3C-C1B121AF01D1}"/>
    <cellStyle name="Millares 46 2 2 4 2 2" xfId="10017" xr:uid="{CC406063-FE5C-4B22-A190-CBF363B9EB6B}"/>
    <cellStyle name="Millares 46 2 2 4 3" xfId="7725" xr:uid="{066873B0-8636-4116-B014-9DC8956CF905}"/>
    <cellStyle name="Millares 46 2 2 5" xfId="4440" xr:uid="{B454C418-7407-4F03-99BA-18108BA646D5}"/>
    <cellStyle name="Millares 46 2 2 5 2" xfId="9008" xr:uid="{F74CA18B-28E3-42A4-A71E-173C7B8249BD}"/>
    <cellStyle name="Millares 46 2 2 6" xfId="6716" xr:uid="{A6986908-5BD7-4516-8508-4E05A2503A87}"/>
    <cellStyle name="Millares 46 2 3" xfId="2255" xr:uid="{0C0C9700-16D3-443B-8864-FD0FA1BE2757}"/>
    <cellStyle name="Millares 46 2 3 2" xfId="3820" xr:uid="{7FEDDFC4-9EA3-4823-83C3-4F8EA529C557}"/>
    <cellStyle name="Millares 46 2 3 2 2" xfId="6114" xr:uid="{3410DCBF-C343-4671-BE1D-A7F2A458EFA7}"/>
    <cellStyle name="Millares 46 2 3 2 2 2" xfId="10682" xr:uid="{316DEDAB-1C58-42CD-9DAF-B884A0CD66BA}"/>
    <cellStyle name="Millares 46 2 3 2 3" xfId="8390" xr:uid="{265B750C-E241-4D27-BBB1-8D64B5348402}"/>
    <cellStyle name="Millares 46 2 3 3" xfId="3266" xr:uid="{7BCF5942-9B3C-4D74-9CAC-A1482B22E1EF}"/>
    <cellStyle name="Millares 46 2 3 3 2" xfId="5690" xr:uid="{1436E3E4-6183-4B56-A544-12B639143605}"/>
    <cellStyle name="Millares 46 2 3 3 2 2" xfId="10258" xr:uid="{B9E6BCBA-C5E5-4F35-A401-8248E940D5F4}"/>
    <cellStyle name="Millares 46 2 3 3 3" xfId="7966" xr:uid="{083DBEF5-7560-4113-994B-709372A82DAB}"/>
    <cellStyle name="Millares 46 2 3 4" xfId="4681" xr:uid="{671E1DE6-3043-4A47-9502-CB65E382C027}"/>
    <cellStyle name="Millares 46 2 3 4 2" xfId="9249" xr:uid="{81293714-62AF-423B-8BE5-7A10270C7911}"/>
    <cellStyle name="Millares 46 2 3 5" xfId="6957" xr:uid="{F482B16D-42F7-4BC5-BB62-0DCEC795CB81}"/>
    <cellStyle name="Millares 46 2 4" xfId="3608" xr:uid="{603DA076-27E8-495A-8D65-02E8063F2757}"/>
    <cellStyle name="Millares 46 2 4 2" xfId="6012" xr:uid="{90A65D4A-4C34-4C88-A79D-02C679D471C4}"/>
    <cellStyle name="Millares 46 2 4 2 2" xfId="10580" xr:uid="{32FE58B9-51FE-4A34-A504-480A7354F1E8}"/>
    <cellStyle name="Millares 46 2 4 3" xfId="8288" xr:uid="{7F1A3811-71CA-4B66-8DFB-03000511D2EC}"/>
    <cellStyle name="Millares 46 2 5" xfId="2838" xr:uid="{3BA322A2-2B8C-4ED8-A98A-DA2727F63043}"/>
    <cellStyle name="Millares 46 2 5 2" xfId="5262" xr:uid="{31572CED-CB0F-4CE7-A8E5-B63B4F14C734}"/>
    <cellStyle name="Millares 46 2 5 2 2" xfId="9830" xr:uid="{D767F630-9B38-43B7-925A-50D65E2EEECA}"/>
    <cellStyle name="Millares 46 2 5 3" xfId="7538" xr:uid="{FAEFBC72-E77C-4867-82BC-0789FEAEF70D}"/>
    <cellStyle name="Millares 46 2 6" xfId="4253" xr:uid="{C4B22E72-2760-4903-AAA5-5121DF129D8F}"/>
    <cellStyle name="Millares 46 2 6 2" xfId="8821" xr:uid="{0DCBE304-9885-45FA-85CA-E3E36C8E2D2C}"/>
    <cellStyle name="Millares 46 2 7" xfId="6529" xr:uid="{90F0F80C-885F-4D1B-ABF8-80D6D5E6C6AF}"/>
    <cellStyle name="Millares 46 3" xfId="1896" xr:uid="{35F58A1E-FDF9-4330-95AA-0945453EDC10}"/>
    <cellStyle name="Millares 46 3 2" xfId="2438" xr:uid="{1E179CFD-F4DB-4F23-8F7E-50722EDD617D}"/>
    <cellStyle name="Millares 46 3 2 2" xfId="3850" xr:uid="{8213A083-C458-4A96-96CA-8D8F944C233E}"/>
    <cellStyle name="Millares 46 3 2 2 2" xfId="6144" xr:uid="{A3CBB4DC-E764-4AB5-A2A3-2DC8A6042502}"/>
    <cellStyle name="Millares 46 3 2 2 2 2" xfId="10712" xr:uid="{6DDDD96A-4693-4824-9E90-FE097B8DB0A0}"/>
    <cellStyle name="Millares 46 3 2 2 3" xfId="8420" xr:uid="{3606B08E-4674-47AC-98D4-EA9AAEF52631}"/>
    <cellStyle name="Millares 46 3 2 3" xfId="3449" xr:uid="{5240AC97-43F8-40E6-B8A8-1444CB87E2CB}"/>
    <cellStyle name="Millares 46 3 2 3 2" xfId="5873" xr:uid="{2639F8E6-11BA-4348-AEA8-D25F9C4C4EC8}"/>
    <cellStyle name="Millares 46 3 2 3 2 2" xfId="10441" xr:uid="{C258A690-44C4-4705-8231-9B01F29F4482}"/>
    <cellStyle name="Millares 46 3 2 3 3" xfId="8149" xr:uid="{FAB5F34E-FCC7-4EA1-902A-B1EA99EB62F1}"/>
    <cellStyle name="Millares 46 3 2 4" xfId="4864" xr:uid="{CA48DD76-E82C-4173-9DF1-953A2A794B4C}"/>
    <cellStyle name="Millares 46 3 2 4 2" xfId="9432" xr:uid="{C2D6DAAA-2654-40F8-93D1-E212703980FD}"/>
    <cellStyle name="Millares 46 3 2 5" xfId="7140" xr:uid="{CBC4E148-21A4-495F-9EA4-4A7524222E24}"/>
    <cellStyle name="Millares 46 3 3" xfId="3636" xr:uid="{0B0AD12A-3CC3-4BD3-A083-8867B3E3102F}"/>
    <cellStyle name="Millares 46 3 3 2" xfId="6040" xr:uid="{B2764CE6-3D5C-444F-A0F1-0258EDC08AC7}"/>
    <cellStyle name="Millares 46 3 3 2 2" xfId="10608" xr:uid="{361A4A8A-ABE8-49B8-8416-C2C802536A87}"/>
    <cellStyle name="Millares 46 3 3 3" xfId="8316" xr:uid="{27FE0E67-4BCB-428B-AAF6-E5B1927150D8}"/>
    <cellStyle name="Millares 46 3 4" xfId="3021" xr:uid="{C05ED278-F03C-491B-8940-E4D99A6D12F2}"/>
    <cellStyle name="Millares 46 3 4 2" xfId="5445" xr:uid="{DFFFC963-9549-49C7-AF79-CB5E1BB833C3}"/>
    <cellStyle name="Millares 46 3 4 2 2" xfId="10013" xr:uid="{05765E4C-AB6C-428F-8784-8A4C985FBEB1}"/>
    <cellStyle name="Millares 46 3 4 3" xfId="7721" xr:uid="{E800A893-CEFB-4374-A7E2-DCDAA1BC0FB4}"/>
    <cellStyle name="Millares 46 3 5" xfId="4436" xr:uid="{26EFE1E3-FFF0-4534-B424-7C30198B5789}"/>
    <cellStyle name="Millares 46 3 5 2" xfId="9004" xr:uid="{5F2E466D-86A6-43A7-AF74-23C26F02C2BF}"/>
    <cellStyle name="Millares 46 3 6" xfId="6712" xr:uid="{C2DD3706-D9DE-4FCB-840F-BB0F994EA67B}"/>
    <cellStyle name="Millares 46 4" xfId="2251" xr:uid="{61BCCDC5-40DA-4B14-A38F-6AD2C2B3A873}"/>
    <cellStyle name="Millares 46 4 2" xfId="3817" xr:uid="{8D2CC195-5E55-4572-A717-C6F58F394CC8}"/>
    <cellStyle name="Millares 46 4 2 2" xfId="6111" xr:uid="{3D6CDCFB-3529-49B9-95D9-40E197E8C3A5}"/>
    <cellStyle name="Millares 46 4 2 2 2" xfId="10679" xr:uid="{441548DD-A0FA-43CC-84FB-440614D3FC01}"/>
    <cellStyle name="Millares 46 4 2 3" xfId="8387" xr:uid="{14EC5081-4966-42C6-95C7-297F5798295E}"/>
    <cellStyle name="Millares 46 4 3" xfId="3262" xr:uid="{A176F090-5E4A-4C5B-9D1D-B28BFB0C322D}"/>
    <cellStyle name="Millares 46 4 3 2" xfId="5686" xr:uid="{81F0F03D-021C-4A96-8294-E7D73CF08400}"/>
    <cellStyle name="Millares 46 4 3 2 2" xfId="10254" xr:uid="{1D1E6B6A-1C27-4898-8199-2517A084C30D}"/>
    <cellStyle name="Millares 46 4 3 3" xfId="7962" xr:uid="{7479E2FC-0840-460F-AFB6-A7B3A36AF1D5}"/>
    <cellStyle name="Millares 46 4 4" xfId="4677" xr:uid="{7DF7941B-3FFC-4F65-AF97-903C1B5C366F}"/>
    <cellStyle name="Millares 46 4 4 2" xfId="9245" xr:uid="{66112A20-2CAE-4759-A824-4D8EB6A9DBD4}"/>
    <cellStyle name="Millares 46 4 5" xfId="6953" xr:uid="{64521DEF-B97B-414A-BC1C-18D0560D98C9}"/>
    <cellStyle name="Millares 46 5" xfId="3605" xr:uid="{19816B01-1E71-4001-A57E-99117228E0F1}"/>
    <cellStyle name="Millares 46 5 2" xfId="6009" xr:uid="{DF006D46-049D-4787-B164-AC65F59A57B9}"/>
    <cellStyle name="Millares 46 5 2 2" xfId="10577" xr:uid="{9D963C8B-0252-4998-9EC5-03A896D278D6}"/>
    <cellStyle name="Millares 46 5 3" xfId="8285" xr:uid="{58FF84F3-D96C-4C0A-8CDA-F6526D7FA3F5}"/>
    <cellStyle name="Millares 46 6" xfId="2834" xr:uid="{68F4EE50-D235-47A4-89E2-C85606F92D14}"/>
    <cellStyle name="Millares 46 6 2" xfId="5258" xr:uid="{9D74937B-E316-4111-A272-1CDA46ACA924}"/>
    <cellStyle name="Millares 46 6 2 2" xfId="9826" xr:uid="{B41FBA27-2ABF-430F-971C-531CF33FDC00}"/>
    <cellStyle name="Millares 46 6 3" xfId="7534" xr:uid="{606E51FA-19DC-480F-AA0B-7DACF7E1F5F2}"/>
    <cellStyle name="Millares 46 7" xfId="4249" xr:uid="{B2CE5869-FF9C-41B7-8B4C-4D6A85332FBF}"/>
    <cellStyle name="Millares 46 7 2" xfId="8817" xr:uid="{7405DFC4-0B66-471A-8D99-BFFEA142EA87}"/>
    <cellStyle name="Millares 46 8" xfId="6525" xr:uid="{12DE6357-7F9E-4810-89A4-D453FDE265C4}"/>
    <cellStyle name="Millares 46 9" xfId="1606" xr:uid="{D4831249-8135-474E-AFE4-8C4C16018125}"/>
    <cellStyle name="Millares 47" xfId="953" xr:uid="{00000000-0005-0000-0000-000037020000}"/>
    <cellStyle name="Millares 47 2" xfId="1593" xr:uid="{36676F03-8462-41BB-9028-744EBB97848F}"/>
    <cellStyle name="Millares 47 2 2" xfId="954" xr:uid="{00000000-0005-0000-0000-000038020000}"/>
    <cellStyle name="Millares 47 2 2 2" xfId="955" xr:uid="{00000000-0005-0000-0000-000039020000}"/>
    <cellStyle name="Millares 47 2 2 2 2" xfId="969" xr:uid="{00000000-0005-0000-0000-00003A020000}"/>
    <cellStyle name="Millares 47 2 2 2 2 10" xfId="1083" xr:uid="{00000000-0005-0000-0000-00003B020000}"/>
    <cellStyle name="Millares 47 2 2 2 2 10 2" xfId="6523" xr:uid="{4373E9CF-B812-4057-990E-CACB6E45AE86}"/>
    <cellStyle name="Millares 47 2 2 2 2 11" xfId="1100" xr:uid="{00000000-0005-0000-0000-00003C020000}"/>
    <cellStyle name="Millares 47 2 2 2 2 12" xfId="1101" xr:uid="{00000000-0005-0000-0000-00003D020000}"/>
    <cellStyle name="Millares 47 2 2 2 2 13" xfId="1133" xr:uid="{00000000-0005-0000-0000-00003E020000}"/>
    <cellStyle name="Millares 47 2 2 2 2 14" xfId="1152" xr:uid="{00000000-0005-0000-0000-00003F020000}"/>
    <cellStyle name="Millares 47 2 2 2 2 15" xfId="1169" xr:uid="{00000000-0005-0000-0000-000040020000}"/>
    <cellStyle name="Millares 47 2 2 2 2 16" xfId="1182" xr:uid="{00000000-0005-0000-0000-000041020000}"/>
    <cellStyle name="Millares 47 2 2 2 2 17" xfId="1203" xr:uid="{00000000-0005-0000-0000-000042020000}"/>
    <cellStyle name="Millares 47 2 2 2 2 18" xfId="1217" xr:uid="{00000000-0005-0000-0000-000043020000}"/>
    <cellStyle name="Millares 47 2 2 2 2 19" xfId="1232" xr:uid="{00000000-0005-0000-0000-000044020000}"/>
    <cellStyle name="Millares 47 2 2 2 2 2" xfId="983" xr:uid="{00000000-0005-0000-0000-000045020000}"/>
    <cellStyle name="Millares 47 2 2 2 2 2 2" xfId="1926" xr:uid="{64B6CA34-7D16-4FE8-AC8B-22D493CB9B38}"/>
    <cellStyle name="Millares 47 2 2 2 2 2 2 2" xfId="2468" xr:uid="{7C83C0B8-C6C6-4671-9C6E-0E43EC904D91}"/>
    <cellStyle name="Millares 47 2 2 2 2 2 2 2 2" xfId="3865" xr:uid="{67999A3A-E169-4E20-A629-F749DA85E1C2}"/>
    <cellStyle name="Millares 47 2 2 2 2 2 2 2 2 2" xfId="6159" xr:uid="{69713615-7DED-4BFA-93DD-A8505E38B0B1}"/>
    <cellStyle name="Millares 47 2 2 2 2 2 2 2 2 2 2" xfId="10727" xr:uid="{433C1AED-18DA-415C-B742-EAC30C981F1B}"/>
    <cellStyle name="Millares 47 2 2 2 2 2 2 2 2 3" xfId="8435" xr:uid="{F23CF501-5DA4-4611-A759-DF4A58C5E77D}"/>
    <cellStyle name="Millares 47 2 2 2 2 2 2 2 3" xfId="3479" xr:uid="{34FFF95D-2EB9-43C5-85DE-5DDD4A27231E}"/>
    <cellStyle name="Millares 47 2 2 2 2 2 2 2 3 2" xfId="5903" xr:uid="{C81AECDF-BF40-4C40-949D-FFF40EE4DFF2}"/>
    <cellStyle name="Millares 47 2 2 2 2 2 2 2 3 2 2" xfId="10471" xr:uid="{B903DD78-2F96-428F-9138-EB48C407A169}"/>
    <cellStyle name="Millares 47 2 2 2 2 2 2 2 3 3" xfId="8179" xr:uid="{F3C1AA1F-8BA0-4B3D-9ECE-613E1AEB9BE3}"/>
    <cellStyle name="Millares 47 2 2 2 2 2 2 2 4" xfId="4894" xr:uid="{8FC74A4F-E395-4E18-9F99-451CBAC3AEA4}"/>
    <cellStyle name="Millares 47 2 2 2 2 2 2 2 4 2" xfId="9462" xr:uid="{CE41ADC0-A91A-49F8-B2D8-A68DB1D980F4}"/>
    <cellStyle name="Millares 47 2 2 2 2 2 2 2 5" xfId="7170" xr:uid="{A69DCB2B-24AD-4721-9660-E91924FC5D0A}"/>
    <cellStyle name="Millares 47 2 2 2 2 2 2 3" xfId="3651" xr:uid="{8D7F98C7-5564-4E84-B846-8295CF3779E5}"/>
    <cellStyle name="Millares 47 2 2 2 2 2 2 3 2" xfId="6055" xr:uid="{BD898021-1E91-4749-9337-942D4F66F92A}"/>
    <cellStyle name="Millares 47 2 2 2 2 2 2 3 2 2" xfId="10623" xr:uid="{FE6F2954-3873-4DAE-B74E-B432835C630F}"/>
    <cellStyle name="Millares 47 2 2 2 2 2 2 3 3" xfId="8331" xr:uid="{107EDAE2-8937-4FAE-B271-B6BF916E5D1D}"/>
    <cellStyle name="Millares 47 2 2 2 2 2 2 4" xfId="3051" xr:uid="{B5647B31-1BDC-43EF-8734-786D7DACD66E}"/>
    <cellStyle name="Millares 47 2 2 2 2 2 2 4 2" xfId="5475" xr:uid="{69E5F132-A86B-4532-81CE-AC30731CCF87}"/>
    <cellStyle name="Millares 47 2 2 2 2 2 2 4 2 2" xfId="10043" xr:uid="{A697CDA8-7777-46E4-90FE-90233FDE23A2}"/>
    <cellStyle name="Millares 47 2 2 2 2 2 2 4 3" xfId="7751" xr:uid="{5632FF8D-5BB7-440B-A63E-CD48461E207C}"/>
    <cellStyle name="Millares 47 2 2 2 2 2 2 5" xfId="4466" xr:uid="{85CE454E-321C-4291-A8DF-51632D1F74D5}"/>
    <cellStyle name="Millares 47 2 2 2 2 2 2 5 2" xfId="9034" xr:uid="{43417419-7140-4C52-97BF-01EDED99B98C}"/>
    <cellStyle name="Millares 47 2 2 2 2 2 2 6" xfId="6742" xr:uid="{D1672969-D816-405C-A266-AE4FF0F2DCEC}"/>
    <cellStyle name="Millares 47 2 2 2 2 2 3" xfId="2281" xr:uid="{A268DAE6-8E54-4CC4-BF98-99FEA5AAD9BD}"/>
    <cellStyle name="Millares 47 2 2 2 2 2 3 2" xfId="3832" xr:uid="{73F674B7-03E8-4E65-98E6-556C90744217}"/>
    <cellStyle name="Millares 47 2 2 2 2 2 3 2 2" xfId="6126" xr:uid="{F39353AC-1BEB-460F-986C-60749695F866}"/>
    <cellStyle name="Millares 47 2 2 2 2 2 3 2 2 2" xfId="10694" xr:uid="{7F531B45-8C02-41F4-976E-682F9E496F20}"/>
    <cellStyle name="Millares 47 2 2 2 2 2 3 2 3" xfId="8402" xr:uid="{6B7C5636-180D-4640-AD34-06B74614C065}"/>
    <cellStyle name="Millares 47 2 2 2 2 2 3 3" xfId="3292" xr:uid="{0EA0774B-9897-462E-8830-E93766A96EDE}"/>
    <cellStyle name="Millares 47 2 2 2 2 2 3 3 2" xfId="5716" xr:uid="{360C1164-1895-48F5-A6E1-A7DDE439F734}"/>
    <cellStyle name="Millares 47 2 2 2 2 2 3 3 2 2" xfId="10284" xr:uid="{3F0EEC2B-CD11-4372-BE80-36FFD1261115}"/>
    <cellStyle name="Millares 47 2 2 2 2 2 3 3 3" xfId="7992" xr:uid="{41F553B4-8ACB-4326-93DC-0B23F5B86B1A}"/>
    <cellStyle name="Millares 47 2 2 2 2 2 3 4" xfId="4707" xr:uid="{B8720A73-55EB-480C-ABA5-8A05E847EF7D}"/>
    <cellStyle name="Millares 47 2 2 2 2 2 3 4 2" xfId="9275" xr:uid="{56746C1A-B9F2-42BE-A4E3-46D7E434BB8A}"/>
    <cellStyle name="Millares 47 2 2 2 2 2 3 5" xfId="6983" xr:uid="{A75FCFA3-8ECD-45D0-B9DC-53F099ABEE51}"/>
    <cellStyle name="Millares 47 2 2 2 2 2 4" xfId="3620" xr:uid="{8CE95499-B1C4-4507-94F4-6DA2AFCB8E85}"/>
    <cellStyle name="Millares 47 2 2 2 2 2 4 2" xfId="6024" xr:uid="{86C6FCA1-D434-466C-994F-C20F205EC82D}"/>
    <cellStyle name="Millares 47 2 2 2 2 2 4 2 2" xfId="10592" xr:uid="{DD50594A-B2F2-46C4-B34B-742ADB972B88}"/>
    <cellStyle name="Millares 47 2 2 2 2 2 4 3" xfId="8300" xr:uid="{FE1E8907-26A0-485C-B535-6CFD05508934}"/>
    <cellStyle name="Millares 47 2 2 2 2 2 5" xfId="2864" xr:uid="{BE71890B-4F75-47C2-93D0-35E684ECD16C}"/>
    <cellStyle name="Millares 47 2 2 2 2 2 5 2" xfId="5288" xr:uid="{B3CEF4C4-4299-47A2-8313-E8D790032B16}"/>
    <cellStyle name="Millares 47 2 2 2 2 2 5 2 2" xfId="9856" xr:uid="{80B992DC-8544-4E74-8CB5-7721CA77329A}"/>
    <cellStyle name="Millares 47 2 2 2 2 2 5 3" xfId="7564" xr:uid="{3B38EE37-44D7-42A4-A019-310626A7C27F}"/>
    <cellStyle name="Millares 47 2 2 2 2 2 6" xfId="4279" xr:uid="{F7E63DDC-821B-4E44-B368-98EF0EB3F202}"/>
    <cellStyle name="Millares 47 2 2 2 2 2 6 2" xfId="8847" xr:uid="{619528CD-C432-4CF0-8BCF-A86D7F3D53A7}"/>
    <cellStyle name="Millares 47 2 2 2 2 2 7" xfId="6555" xr:uid="{1C44FB77-4ACD-444D-8442-0A8C980DD37C}"/>
    <cellStyle name="Millares 47 2 2 2 2 2 8" xfId="1636" xr:uid="{5D666C67-1809-4FAD-9125-EF7ECE29B808}"/>
    <cellStyle name="Millares 47 2 2 2 2 20" xfId="1233" xr:uid="{00000000-0005-0000-0000-000046020000}"/>
    <cellStyle name="Millares 47 2 2 2 2 20 2" xfId="1267" xr:uid="{81B2AD5B-9229-492C-A8C5-FF0C886DA8C8}"/>
    <cellStyle name="Millares 47 2 2 2 2 21" xfId="1266" xr:uid="{E3059AA4-CDDB-4212-B5AE-679B4F72E188}"/>
    <cellStyle name="Millares 47 2 2 2 2 22" xfId="1286" xr:uid="{46195BE7-3F5D-4043-9B00-5718154EB25B}"/>
    <cellStyle name="Millares 47 2 2 2 2 23" xfId="1313" xr:uid="{C812641E-3576-4AA1-B5D5-563967261DBB}"/>
    <cellStyle name="Millares 47 2 2 2 2 24" xfId="1604" xr:uid="{04647B9E-2FBD-41D8-9391-B171476630D2}"/>
    <cellStyle name="Millares 47 2 2 2 2 3" xfId="991" xr:uid="{00000000-0005-0000-0000-000047020000}"/>
    <cellStyle name="Millares 47 2 2 2 2 3 2" xfId="1931" xr:uid="{7E4D8373-9628-49C7-93B5-A1013FF33694}"/>
    <cellStyle name="Millares 47 2 2 2 2 3 2 2" xfId="2473" xr:uid="{150DD60F-A60D-4FFC-B2F3-D16C510B5F5C}"/>
    <cellStyle name="Millares 47 2 2 2 2 3 2 2 2" xfId="3867" xr:uid="{392730FE-78EF-4522-AD10-CDF7B21E57B0}"/>
    <cellStyle name="Millares 47 2 2 2 2 3 2 2 2 2" xfId="6161" xr:uid="{B6A59AF2-58B0-4732-80D8-803C8BCE5333}"/>
    <cellStyle name="Millares 47 2 2 2 2 3 2 2 2 2 2" xfId="10729" xr:uid="{DDDB7C0C-38DE-4708-B0DA-A9D9C8D3083C}"/>
    <cellStyle name="Millares 47 2 2 2 2 3 2 2 2 3" xfId="8437" xr:uid="{12188251-8D78-43AD-8507-0CEA6DD18136}"/>
    <cellStyle name="Millares 47 2 2 2 2 3 2 2 3" xfId="3484" xr:uid="{96E66C7F-50D8-43E1-9DEC-3E44105D1B0D}"/>
    <cellStyle name="Millares 47 2 2 2 2 3 2 2 3 2" xfId="5908" xr:uid="{FCB8FA59-5E77-4321-98D1-84C6A2662A3C}"/>
    <cellStyle name="Millares 47 2 2 2 2 3 2 2 3 2 2" xfId="10476" xr:uid="{CC3BF2EA-65A8-45E0-A13D-8397239AD57B}"/>
    <cellStyle name="Millares 47 2 2 2 2 3 2 2 3 3" xfId="8184" xr:uid="{2E2E4960-6D18-458F-9B26-AFC7BC57AD23}"/>
    <cellStyle name="Millares 47 2 2 2 2 3 2 2 4" xfId="4899" xr:uid="{21766677-CB1A-4697-8781-D8771DAB2F8F}"/>
    <cellStyle name="Millares 47 2 2 2 2 3 2 2 4 2" xfId="9467" xr:uid="{A3B8C687-D9A6-44B9-AFE8-F58ECE62B253}"/>
    <cellStyle name="Millares 47 2 2 2 2 3 2 2 5" xfId="7175" xr:uid="{5A9CF4E3-F48F-428A-9666-B277D99B4049}"/>
    <cellStyle name="Millares 47 2 2 2 2 3 2 3" xfId="3654" xr:uid="{51E23756-D6E4-47EF-86AF-A8DB2E1C75D8}"/>
    <cellStyle name="Millares 47 2 2 2 2 3 2 3 2" xfId="6057" xr:uid="{2C429CC8-FBFE-4AEF-9B46-8124651EB883}"/>
    <cellStyle name="Millares 47 2 2 2 2 3 2 3 2 2" xfId="10625" xr:uid="{8A922356-6BA2-469F-A093-F56CE41E74AC}"/>
    <cellStyle name="Millares 47 2 2 2 2 3 2 3 3" xfId="8333" xr:uid="{93B790F7-E7A3-4E5B-9BDC-C18EBA74C2C1}"/>
    <cellStyle name="Millares 47 2 2 2 2 3 2 4" xfId="3056" xr:uid="{1B8974C2-291E-4A3A-8D45-77AB1ADE26B5}"/>
    <cellStyle name="Millares 47 2 2 2 2 3 2 4 2" xfId="5480" xr:uid="{FFDB6B2D-09EC-4C6E-9491-148546C03533}"/>
    <cellStyle name="Millares 47 2 2 2 2 3 2 4 2 2" xfId="10048" xr:uid="{45635B96-49D7-4BCE-8E6E-FBB05849BCF5}"/>
    <cellStyle name="Millares 47 2 2 2 2 3 2 4 3" xfId="7756" xr:uid="{9906FEDC-70F3-4306-808E-FD6E41FD9BEF}"/>
    <cellStyle name="Millares 47 2 2 2 2 3 2 5" xfId="4471" xr:uid="{A97EBFE5-BF6B-486F-A456-0B8387B80E2F}"/>
    <cellStyle name="Millares 47 2 2 2 2 3 2 5 2" xfId="9039" xr:uid="{A38A0923-B88E-483D-996C-7EE9114DFA12}"/>
    <cellStyle name="Millares 47 2 2 2 2 3 2 6" xfId="6747" xr:uid="{373A06DE-6239-4A5C-B1F8-EB166BA68590}"/>
    <cellStyle name="Millares 47 2 2 2 2 3 3" xfId="2286" xr:uid="{C7B41971-4BEB-41F6-B33D-6A71DAB8B988}"/>
    <cellStyle name="Millares 47 2 2 2 2 3 3 2" xfId="3836" xr:uid="{3A7C94DC-B3AF-4C47-BB7F-61D0CBC9EA52}"/>
    <cellStyle name="Millares 47 2 2 2 2 3 3 2 2" xfId="6130" xr:uid="{4C65C2B2-25FA-49EA-86EC-35EF429C296E}"/>
    <cellStyle name="Millares 47 2 2 2 2 3 3 2 2 2" xfId="10698" xr:uid="{AC05E9B9-6117-4CBF-B035-15A1BD3E90FE}"/>
    <cellStyle name="Millares 47 2 2 2 2 3 3 2 3" xfId="8406" xr:uid="{C8FDE715-8763-49C1-AA9C-E7EA4F48126B}"/>
    <cellStyle name="Millares 47 2 2 2 2 3 3 3" xfId="3297" xr:uid="{0C22B6CF-78B3-42ED-8C35-78664AFE5349}"/>
    <cellStyle name="Millares 47 2 2 2 2 3 3 3 2" xfId="5721" xr:uid="{3B7848E8-833C-43A2-BEE5-B4F66E60E828}"/>
    <cellStyle name="Millares 47 2 2 2 2 3 3 3 2 2" xfId="10289" xr:uid="{D048B7F1-0415-4E81-82FF-93D5EA46B091}"/>
    <cellStyle name="Millares 47 2 2 2 2 3 3 3 3" xfId="7997" xr:uid="{9C69209F-0D97-4F4F-AE8F-449AF848D519}"/>
    <cellStyle name="Millares 47 2 2 2 2 3 3 4" xfId="4712" xr:uid="{CA4DCB3D-7970-4F31-A4D7-F275CB656F63}"/>
    <cellStyle name="Millares 47 2 2 2 2 3 3 4 2" xfId="9280" xr:uid="{15B7A3E1-AE65-4D15-8E26-171E43DF95D9}"/>
    <cellStyle name="Millares 47 2 2 2 2 3 3 5" xfId="6988" xr:uid="{530EB815-01A6-475A-828F-80E4C89C3801}"/>
    <cellStyle name="Millares 47 2 2 2 2 3 4" xfId="3622" xr:uid="{4AC8D472-5D35-4920-9AD9-920F2D6C2523}"/>
    <cellStyle name="Millares 47 2 2 2 2 3 4 2" xfId="6026" xr:uid="{EF266FA1-0FC5-43E7-9634-636C2CA5221D}"/>
    <cellStyle name="Millares 47 2 2 2 2 3 4 2 2" xfId="10594" xr:uid="{8009D277-D53B-46B8-9677-D34E3D83B9A4}"/>
    <cellStyle name="Millares 47 2 2 2 2 3 4 3" xfId="8302" xr:uid="{A1A96446-CAC2-4F29-9E20-827DDF5EFB0E}"/>
    <cellStyle name="Millares 47 2 2 2 2 3 5" xfId="2869" xr:uid="{8E17600A-B110-4ACE-B7BC-54A74BC8EE5D}"/>
    <cellStyle name="Millares 47 2 2 2 2 3 5 2" xfId="5293" xr:uid="{B42E1C44-5FBB-436A-919B-9FB84D8FE26C}"/>
    <cellStyle name="Millares 47 2 2 2 2 3 5 2 2" xfId="9861" xr:uid="{5466ED4B-9269-4B27-835E-FEE34F3B9F3E}"/>
    <cellStyle name="Millares 47 2 2 2 2 3 5 3" xfId="7569" xr:uid="{A27A851A-ABE6-4FA0-9FE9-FFF28DD8FE2E}"/>
    <cellStyle name="Millares 47 2 2 2 2 3 6" xfId="4284" xr:uid="{9B1B409A-14D4-4AB2-BDF4-5036777A4851}"/>
    <cellStyle name="Millares 47 2 2 2 2 3 6 2" xfId="8852" xr:uid="{4FA89340-1EB5-4538-B0ED-523DC6711B0D}"/>
    <cellStyle name="Millares 47 2 2 2 2 3 7" xfId="6560" xr:uid="{AF6BF8B3-1C12-431A-A732-C7A1AAC93644}"/>
    <cellStyle name="Millares 47 2 2 2 2 3 8" xfId="1641" xr:uid="{A81009E1-CE3F-4D39-B3DA-E1A4EB57850F}"/>
    <cellStyle name="Millares 47 2 2 2 2 4" xfId="1004" xr:uid="{00000000-0005-0000-0000-000048020000}"/>
    <cellStyle name="Millares 47 2 2 2 2 4 10" xfId="1188" xr:uid="{00000000-0005-0000-0000-000049020000}"/>
    <cellStyle name="Millares 47 2 2 2 2 4 11" xfId="1209" xr:uid="{00000000-0005-0000-0000-00004A020000}"/>
    <cellStyle name="Millares 47 2 2 2 2 4 12" xfId="1222" xr:uid="{00000000-0005-0000-0000-00004B020000}"/>
    <cellStyle name="Millares 47 2 2 2 2 4 13" xfId="1240" xr:uid="{00000000-0005-0000-0000-00004C020000}"/>
    <cellStyle name="Millares 47 2 2 2 2 4 14" xfId="1273" xr:uid="{B47BDF67-EEA5-438A-BC2D-78928D1DF92A}"/>
    <cellStyle name="Millares 47 2 2 2 2 4 15" xfId="1290" xr:uid="{BC86F55D-71E0-43D0-818D-18F8D895A0AB}"/>
    <cellStyle name="Millares 47 2 2 2 2 4 16" xfId="1317" xr:uid="{92216759-A210-440D-88B3-6CD56E1342BC}"/>
    <cellStyle name="Millares 47 2 2 2 2 4 17" xfId="1643" xr:uid="{F19E8C8E-7DB2-47F4-BF52-69E274A691E1}"/>
    <cellStyle name="Millares 47 2 2 2 2 4 2" xfId="1032" xr:uid="{00000000-0005-0000-0000-00004D020000}"/>
    <cellStyle name="Millares 47 2 2 2 2 4 2 2" xfId="2475" xr:uid="{D1648AF0-51D0-4C25-B805-785066AE697A}"/>
    <cellStyle name="Millares 47 2 2 2 2 4 2 2 2" xfId="3869" xr:uid="{3534F832-4594-404C-A780-16B049E16DD9}"/>
    <cellStyle name="Millares 47 2 2 2 2 4 2 2 2 2" xfId="6163" xr:uid="{A0A480C3-3B71-4111-9AEF-D88AC30EB72A}"/>
    <cellStyle name="Millares 47 2 2 2 2 4 2 2 2 2 2" xfId="10731" xr:uid="{377B720D-61B9-45AA-8214-9B87E16E5F96}"/>
    <cellStyle name="Millares 47 2 2 2 2 4 2 2 2 3" xfId="8439" xr:uid="{93A55AEB-2D13-425E-93AB-9BF6D526E2C4}"/>
    <cellStyle name="Millares 47 2 2 2 2 4 2 2 3" xfId="3486" xr:uid="{3B3EA73F-26BC-43AE-8D7C-3802B4CEFB98}"/>
    <cellStyle name="Millares 47 2 2 2 2 4 2 2 3 2" xfId="5910" xr:uid="{585A77B8-83AA-4065-9805-1D8C365B4874}"/>
    <cellStyle name="Millares 47 2 2 2 2 4 2 2 3 2 2" xfId="10478" xr:uid="{6025F3C9-E892-4EB2-B404-24E5A67F6ECB}"/>
    <cellStyle name="Millares 47 2 2 2 2 4 2 2 3 3" xfId="8186" xr:uid="{D6E0E81D-CE40-435A-ABCC-BC8766ACCA8C}"/>
    <cellStyle name="Millares 47 2 2 2 2 4 2 2 4" xfId="4901" xr:uid="{ADE8C8A6-6664-4A19-A540-DB07CB0872DF}"/>
    <cellStyle name="Millares 47 2 2 2 2 4 2 2 4 2" xfId="9469" xr:uid="{0F6AF5A9-AA9E-48FE-8713-F669CE2BBC6A}"/>
    <cellStyle name="Millares 47 2 2 2 2 4 2 2 5" xfId="7177" xr:uid="{4A4B5AFF-0322-45D1-ABF9-DBE93D56BE0C}"/>
    <cellStyle name="Millares 47 2 2 2 2 4 2 3" xfId="3656" xr:uid="{93E1663B-54C0-4E40-88B0-850B9347E073}"/>
    <cellStyle name="Millares 47 2 2 2 2 4 2 3 2" xfId="6059" xr:uid="{4F761F56-C40E-41EA-AEEA-4EE452D3F024}"/>
    <cellStyle name="Millares 47 2 2 2 2 4 2 3 2 2" xfId="10627" xr:uid="{40DD8E43-3A2B-4955-9E33-9D5D7F2C35C0}"/>
    <cellStyle name="Millares 47 2 2 2 2 4 2 3 3" xfId="8335" xr:uid="{7A818BE8-2667-406F-A846-CE9F497FD8C6}"/>
    <cellStyle name="Millares 47 2 2 2 2 4 2 4" xfId="3058" xr:uid="{8BA239AC-F0D6-422D-911D-A9AAA12E1FD7}"/>
    <cellStyle name="Millares 47 2 2 2 2 4 2 4 2" xfId="5482" xr:uid="{8300BFB7-95F5-4612-B4D2-3D7F62CCBDEB}"/>
    <cellStyle name="Millares 47 2 2 2 2 4 2 4 2 2" xfId="10050" xr:uid="{03EBA24D-AC25-4C32-93BC-193760A4A95C}"/>
    <cellStyle name="Millares 47 2 2 2 2 4 2 4 3" xfId="7758" xr:uid="{40E0B94E-A396-4F49-B0D3-62A61D7956D3}"/>
    <cellStyle name="Millares 47 2 2 2 2 4 2 5" xfId="4473" xr:uid="{2613F2D8-177F-4829-90A4-68AE754ED425}"/>
    <cellStyle name="Millares 47 2 2 2 2 4 2 5 2" xfId="9041" xr:uid="{37FC199E-1CC1-425C-9B87-37409E01B83A}"/>
    <cellStyle name="Millares 47 2 2 2 2 4 2 6" xfId="6749" xr:uid="{880B5915-1D64-458C-A3E8-90ACA72AEAC5}"/>
    <cellStyle name="Millares 47 2 2 2 2 4 2 7" xfId="1933" xr:uid="{75ABB0FA-28AC-45A8-9468-73392C28F8F2}"/>
    <cellStyle name="Millares 47 2 2 2 2 4 3" xfId="1046" xr:uid="{00000000-0005-0000-0000-00004E020000}"/>
    <cellStyle name="Millares 47 2 2 2 2 4 3 2" xfId="3838" xr:uid="{84ED599E-4009-48CD-A54B-548427B3CD99}"/>
    <cellStyle name="Millares 47 2 2 2 2 4 3 2 2" xfId="6132" xr:uid="{3D61AB05-DD11-4D64-B139-B9BFCF36DEEF}"/>
    <cellStyle name="Millares 47 2 2 2 2 4 3 2 2 2" xfId="10700" xr:uid="{A14554A9-8B81-4234-B53C-843371F40179}"/>
    <cellStyle name="Millares 47 2 2 2 2 4 3 2 3" xfId="8408" xr:uid="{49AB329E-67C6-4B69-94D1-13DBEC8D5265}"/>
    <cellStyle name="Millares 47 2 2 2 2 4 3 3" xfId="3299" xr:uid="{12AED6F3-9159-4BE2-BDFC-3957A0FC2277}"/>
    <cellStyle name="Millares 47 2 2 2 2 4 3 3 2" xfId="5723" xr:uid="{8DEE5BB1-A541-48A1-93F1-41998738069B}"/>
    <cellStyle name="Millares 47 2 2 2 2 4 3 3 2 2" xfId="10291" xr:uid="{27F0F10F-2665-4BBC-8385-3A2BE3396C6B}"/>
    <cellStyle name="Millares 47 2 2 2 2 4 3 3 3" xfId="7999" xr:uid="{76B69E7D-B1B6-4389-8744-052BDF378535}"/>
    <cellStyle name="Millares 47 2 2 2 2 4 3 4" xfId="4714" xr:uid="{07E16BFF-1E65-464E-A358-7CCC9C3EB36C}"/>
    <cellStyle name="Millares 47 2 2 2 2 4 3 4 2" xfId="9282" xr:uid="{6581FF84-C94B-4770-806A-C825BDF6B6F2}"/>
    <cellStyle name="Millares 47 2 2 2 2 4 3 5" xfId="6990" xr:uid="{9F3BA682-2C19-4A6E-84CF-CD356B6879CB}"/>
    <cellStyle name="Millares 47 2 2 2 2 4 3 6" xfId="2288" xr:uid="{284AC236-DA2D-42F2-9229-27D6A0838078}"/>
    <cellStyle name="Millares 47 2 2 2 2 4 4" xfId="1059" xr:uid="{00000000-0005-0000-0000-00004F020000}"/>
    <cellStyle name="Millares 47 2 2 2 2 4 4 2" xfId="3624" xr:uid="{FC39EECA-80B4-4D6C-8E36-89BAD7D97F51}"/>
    <cellStyle name="Millares 47 2 2 2 2 4 4 2 2" xfId="6028" xr:uid="{4C1DB7CD-6184-4907-899A-8F693F36B5F0}"/>
    <cellStyle name="Millares 47 2 2 2 2 4 4 2 2 2" xfId="10596" xr:uid="{439E7748-2125-4704-8649-C42EC1BF3021}"/>
    <cellStyle name="Millares 47 2 2 2 2 4 4 2 3" xfId="8304" xr:uid="{9D6527E4-59BF-4DEF-A244-C2FB7FA3B4D3}"/>
    <cellStyle name="Millares 47 2 2 2 2 4 4 3" xfId="5027" xr:uid="{DDD4C09E-0990-4A52-BE14-E6F77C2FA333}"/>
    <cellStyle name="Millares 47 2 2 2 2 4 4 3 2" xfId="9595" xr:uid="{2980DB92-B504-4638-81C5-5F5CE454B79E}"/>
    <cellStyle name="Millares 47 2 2 2 2 4 4 4" xfId="7303" xr:uid="{93509DEE-8BBC-422D-9C48-E0F46098B50D}"/>
    <cellStyle name="Millares 47 2 2 2 2 4 4 5" xfId="2601" xr:uid="{A11F2764-AE49-49F8-A805-8252997D68BC}"/>
    <cellStyle name="Millares 47 2 2 2 2 4 5" xfId="1077" xr:uid="{00000000-0005-0000-0000-000050020000}"/>
    <cellStyle name="Millares 47 2 2 2 2 4 5 2" xfId="5295" xr:uid="{C6170311-F3C1-4286-8433-730A0B70F2BA}"/>
    <cellStyle name="Millares 47 2 2 2 2 4 5 2 2" xfId="9863" xr:uid="{766931C7-2BA0-4A42-AC72-BFB1E58D9285}"/>
    <cellStyle name="Millares 47 2 2 2 2 4 5 3" xfId="7571" xr:uid="{CEC5FEB1-B159-40DA-99EC-9FD7908B3BE4}"/>
    <cellStyle name="Millares 47 2 2 2 2 4 5 4" xfId="2871" xr:uid="{32C29EDF-C751-422C-972E-DEBCE21B32C7}"/>
    <cellStyle name="Millares 47 2 2 2 2 4 6" xfId="1109" xr:uid="{00000000-0005-0000-0000-000051020000}"/>
    <cellStyle name="Millares 47 2 2 2 2 4 6 2" xfId="8854" xr:uid="{AEACD0BA-BA77-452F-B88A-CC8AC2826CE6}"/>
    <cellStyle name="Millares 47 2 2 2 2 4 6 3" xfId="4286" xr:uid="{101135B1-154F-4A87-9CDB-985713E0AF85}"/>
    <cellStyle name="Millares 47 2 2 2 2 4 7" xfId="1139" xr:uid="{00000000-0005-0000-0000-000052020000}"/>
    <cellStyle name="Millares 47 2 2 2 2 4 7 2" xfId="6562" xr:uid="{180EE9B7-7674-44A3-BDCE-C4B30D20897F}"/>
    <cellStyle name="Millares 47 2 2 2 2 4 8" xfId="1158" xr:uid="{00000000-0005-0000-0000-000053020000}"/>
    <cellStyle name="Millares 47 2 2 2 2 4 9" xfId="1174" xr:uid="{00000000-0005-0000-0000-000054020000}"/>
    <cellStyle name="Millares 47 2 2 2 2 5" xfId="1020" xr:uid="{00000000-0005-0000-0000-000055020000}"/>
    <cellStyle name="Millares 47 2 2 2 2 5 2" xfId="2436" xr:uid="{F3A42825-E6FA-45EA-BA6B-AE0772AB20D1}"/>
    <cellStyle name="Millares 47 2 2 2 2 5 2 2" xfId="3849" xr:uid="{D7EA634B-3B63-4359-8BA5-D9A63386A2AB}"/>
    <cellStyle name="Millares 47 2 2 2 2 5 2 2 2" xfId="6143" xr:uid="{168FE699-D7BA-42C5-8104-CEB406F93F52}"/>
    <cellStyle name="Millares 47 2 2 2 2 5 2 2 2 2" xfId="10711" xr:uid="{8ECC413B-6FD0-4AEC-811A-4CD6B30DBE29}"/>
    <cellStyle name="Millares 47 2 2 2 2 5 2 2 3" xfId="8419" xr:uid="{BD8D8E8A-5878-4967-BFB3-62C816147D32}"/>
    <cellStyle name="Millares 47 2 2 2 2 5 2 3" xfId="3447" xr:uid="{9EC3A3E5-DC63-41D6-BB42-075E91524886}"/>
    <cellStyle name="Millares 47 2 2 2 2 5 2 3 2" xfId="5871" xr:uid="{240D332F-F0D0-45F3-B2A9-2DF7E258C34D}"/>
    <cellStyle name="Millares 47 2 2 2 2 5 2 3 2 2" xfId="10439" xr:uid="{AFF5CEAB-3015-4E18-8D9B-DCB027148DD3}"/>
    <cellStyle name="Millares 47 2 2 2 2 5 2 3 3" xfId="8147" xr:uid="{0A8459C8-4DBC-4709-A831-D88A8C436AC2}"/>
    <cellStyle name="Millares 47 2 2 2 2 5 2 4" xfId="4862" xr:uid="{A24B195D-2D58-41E4-8D98-ED44BF67942E}"/>
    <cellStyle name="Millares 47 2 2 2 2 5 2 4 2" xfId="9430" xr:uid="{60F4EE01-D85A-448F-B61E-4B9100C9416A}"/>
    <cellStyle name="Millares 47 2 2 2 2 5 2 5" xfId="7138" xr:uid="{99AAE574-D5F0-4A82-8DD6-A57E07495277}"/>
    <cellStyle name="Millares 47 2 2 2 2 5 3" xfId="3635" xr:uid="{3DB5D41E-0473-411C-AD6F-70EF48B00B49}"/>
    <cellStyle name="Millares 47 2 2 2 2 5 3 2" xfId="6039" xr:uid="{FCB02D2E-8C14-41EC-BE9A-3C2647960FF2}"/>
    <cellStyle name="Millares 47 2 2 2 2 5 3 2 2" xfId="10607" xr:uid="{6E45B814-6B9D-44C3-871D-3E17DF70A391}"/>
    <cellStyle name="Millares 47 2 2 2 2 5 3 3" xfId="8315" xr:uid="{225DDC6F-4211-45D0-A99F-EBFAE06700EF}"/>
    <cellStyle name="Millares 47 2 2 2 2 5 4" xfId="3019" xr:uid="{9958C731-F530-4939-93A6-A06443763436}"/>
    <cellStyle name="Millares 47 2 2 2 2 5 4 2" xfId="5443" xr:uid="{9350208C-6AC7-48E9-9F43-58851C563380}"/>
    <cellStyle name="Millares 47 2 2 2 2 5 4 2 2" xfId="10011" xr:uid="{A0CC4864-DCC4-4058-96A8-E01DBA8E8A0F}"/>
    <cellStyle name="Millares 47 2 2 2 2 5 4 3" xfId="7719" xr:uid="{90A02CC8-1377-41CC-B8FE-C677C4EE918E}"/>
    <cellStyle name="Millares 47 2 2 2 2 5 5" xfId="4434" xr:uid="{D7827650-EC8A-40A8-85D4-D47C1977670E}"/>
    <cellStyle name="Millares 47 2 2 2 2 5 5 2" xfId="9002" xr:uid="{82B94014-D671-4EFE-89B8-4E17C132FC27}"/>
    <cellStyle name="Millares 47 2 2 2 2 5 6" xfId="6710" xr:uid="{081A9EBA-770D-4215-9474-469F774E617D}"/>
    <cellStyle name="Millares 47 2 2 2 2 5 7" xfId="1894" xr:uid="{6B6965C7-7021-44EE-B6D3-B90F60608919}"/>
    <cellStyle name="Millares 47 2 2 2 2 6" xfId="1029" xr:uid="{00000000-0005-0000-0000-000056020000}"/>
    <cellStyle name="Millares 47 2 2 2 2 6 2" xfId="3816" xr:uid="{1CC4BEAF-CAFA-4077-B321-2A5002A557D1}"/>
    <cellStyle name="Millares 47 2 2 2 2 6 2 2" xfId="6110" xr:uid="{3CEF9DD8-5393-471B-913B-F72A3552232B}"/>
    <cellStyle name="Millares 47 2 2 2 2 6 2 2 2" xfId="10678" xr:uid="{490880C2-3CC8-49D0-92FB-FCE99E2EDD67}"/>
    <cellStyle name="Millares 47 2 2 2 2 6 2 3" xfId="8386" xr:uid="{288483BF-4F56-460D-AF2D-02DA99004E10}"/>
    <cellStyle name="Millares 47 2 2 2 2 6 3" xfId="3260" xr:uid="{9451B813-E946-4AD5-A3E9-3C46F4DB2FD7}"/>
    <cellStyle name="Millares 47 2 2 2 2 6 3 2" xfId="5684" xr:uid="{94E2D0DF-22B0-4B06-8B8A-B9E7965B8882}"/>
    <cellStyle name="Millares 47 2 2 2 2 6 3 2 2" xfId="10252" xr:uid="{24EA94D8-C172-4DEC-8E43-44427474CEB1}"/>
    <cellStyle name="Millares 47 2 2 2 2 6 3 3" xfId="7960" xr:uid="{FA67E5B3-871E-4F9F-9EC8-2D91BD850873}"/>
    <cellStyle name="Millares 47 2 2 2 2 6 4" xfId="4675" xr:uid="{E394B92A-6661-4651-9BB5-19F929E4C40C}"/>
    <cellStyle name="Millares 47 2 2 2 2 6 4 2" xfId="9243" xr:uid="{7C0CC495-4CA9-458E-800C-5AD20B8A2E0D}"/>
    <cellStyle name="Millares 47 2 2 2 2 6 5" xfId="6951" xr:uid="{B1FE6E5A-6A74-4B8D-B46A-DCB78BC2902B}"/>
    <cellStyle name="Millares 47 2 2 2 2 6 6" xfId="2249" xr:uid="{D87F5A7C-CF6D-4D46-AC47-3F361D06C801}"/>
    <cellStyle name="Millares 47 2 2 2 2 7" xfId="1039" xr:uid="{00000000-0005-0000-0000-000057020000}"/>
    <cellStyle name="Millares 47 2 2 2 2 7 2" xfId="6008" xr:uid="{42D83975-C1BC-449F-B602-FE048D93547D}"/>
    <cellStyle name="Millares 47 2 2 2 2 7 2 2" xfId="10576" xr:uid="{790CC4C6-22B0-4919-B7E7-F75ECEA07DF9}"/>
    <cellStyle name="Millares 47 2 2 2 2 7 3" xfId="8284" xr:uid="{DB5CD12C-BC0D-4D94-A64C-1353A87A3FEC}"/>
    <cellStyle name="Millares 47 2 2 2 2 7 4" xfId="3604" xr:uid="{EF6C5CC3-6B6A-4A05-A31A-B8FCFCF29061}"/>
    <cellStyle name="Millares 47 2 2 2 2 8" xfId="1053" xr:uid="{00000000-0005-0000-0000-000058020000}"/>
    <cellStyle name="Millares 47 2 2 2 2 8 2" xfId="5256" xr:uid="{D29BDAB7-CFBF-430E-9662-DE0B27A1218B}"/>
    <cellStyle name="Millares 47 2 2 2 2 8 2 2" xfId="9824" xr:uid="{41205EFF-A607-40B9-9FCA-59CABDDB110A}"/>
    <cellStyle name="Millares 47 2 2 2 2 8 3" xfId="7532" xr:uid="{32F93F90-68D6-46DE-90F2-2F64B7E0CA2E}"/>
    <cellStyle name="Millares 47 2 2 2 2 8 4" xfId="2832" xr:uid="{4DFD6F05-B718-4C6D-A05C-C01274213CCB}"/>
    <cellStyle name="Millares 47 2 2 2 2 9" xfId="1071" xr:uid="{00000000-0005-0000-0000-000059020000}"/>
    <cellStyle name="Millares 47 2 2 2 2 9 2" xfId="8815" xr:uid="{A82A0F1C-28AB-4AC5-89F5-711B5445238A}"/>
    <cellStyle name="Millares 47 2 2 2 2 9 3" xfId="4247" xr:uid="{F319E659-A528-465F-A3CA-090D03217EA6}"/>
    <cellStyle name="Millares 47 2 2 2 3" xfId="1893" xr:uid="{7F48EFB8-807E-40E1-B42D-EAFFAED8F6FC}"/>
    <cellStyle name="Millares 47 2 2 2 3 2" xfId="2435" xr:uid="{7D28C2D2-FBAD-43F8-B886-1B91603312F0}"/>
    <cellStyle name="Millares 47 2 2 2 3 2 2" xfId="3848" xr:uid="{5430ABF7-8C6F-41A0-9034-D69DB75399E9}"/>
    <cellStyle name="Millares 47 2 2 2 3 2 2 2" xfId="6142" xr:uid="{64AC1101-85A5-45BA-90BF-5DD4FB575D5D}"/>
    <cellStyle name="Millares 47 2 2 2 3 2 2 2 2" xfId="10710" xr:uid="{0CB50EC7-8844-4F17-AF53-23A36D015FD1}"/>
    <cellStyle name="Millares 47 2 2 2 3 2 2 3" xfId="8418" xr:uid="{59F89CA0-D414-4D6C-84EB-CF122BE58B64}"/>
    <cellStyle name="Millares 47 2 2 2 3 2 3" xfId="3446" xr:uid="{BA35456E-26B4-4BB1-A749-D518832227BF}"/>
    <cellStyle name="Millares 47 2 2 2 3 2 3 2" xfId="5870" xr:uid="{C0100F78-E2E7-4743-B00C-51C30941994F}"/>
    <cellStyle name="Millares 47 2 2 2 3 2 3 2 2" xfId="10438" xr:uid="{A7DC9009-ED70-44A5-8743-3EA1015B639F}"/>
    <cellStyle name="Millares 47 2 2 2 3 2 3 3" xfId="8146" xr:uid="{9F728C61-F39E-41DA-974F-C52FCC8B8D16}"/>
    <cellStyle name="Millares 47 2 2 2 3 2 4" xfId="4861" xr:uid="{458C93AF-40FA-40ED-BA11-C8CFB5323909}"/>
    <cellStyle name="Millares 47 2 2 2 3 2 4 2" xfId="9429" xr:uid="{4F76E30C-F301-4116-8D44-7FB896050544}"/>
    <cellStyle name="Millares 47 2 2 2 3 2 5" xfId="7137" xr:uid="{8B4240EF-4239-4573-BD3C-B92FAF1ADF09}"/>
    <cellStyle name="Millares 47 2 2 2 3 3" xfId="3634" xr:uid="{6CC11654-3855-41D7-990B-63127D4B07FA}"/>
    <cellStyle name="Millares 47 2 2 2 3 3 2" xfId="6038" xr:uid="{C190D1DD-B162-48B5-B291-D619DBC34E7E}"/>
    <cellStyle name="Millares 47 2 2 2 3 3 2 2" xfId="10606" xr:uid="{7B655DE5-52BA-47C9-B970-372BF18D70EE}"/>
    <cellStyle name="Millares 47 2 2 2 3 3 3" xfId="8314" xr:uid="{6A15B06E-6305-4B77-A902-E034A9F8F91F}"/>
    <cellStyle name="Millares 47 2 2 2 3 4" xfId="3018" xr:uid="{55CF35E8-51F6-45C0-8C81-10E2E250C7F4}"/>
    <cellStyle name="Millares 47 2 2 2 3 4 2" xfId="5442" xr:uid="{8B16DA54-4CEA-414D-978D-A273C79B3E90}"/>
    <cellStyle name="Millares 47 2 2 2 3 4 2 2" xfId="10010" xr:uid="{91889B26-DA36-4FF4-B58B-CC49268C3CDC}"/>
    <cellStyle name="Millares 47 2 2 2 3 4 3" xfId="7718" xr:uid="{E09F2874-3AA8-41DF-9ABC-D10F4A40D465}"/>
    <cellStyle name="Millares 47 2 2 2 3 5" xfId="4433" xr:uid="{2979D3D3-A1B2-42F8-BABB-6BF600C3F076}"/>
    <cellStyle name="Millares 47 2 2 2 3 5 2" xfId="9001" xr:uid="{1BE91EC0-2353-477F-827F-FB4A278B0C17}"/>
    <cellStyle name="Millares 47 2 2 2 3 6" xfId="6709" xr:uid="{E552F169-2B20-4FAD-90D4-013298B99E0D}"/>
    <cellStyle name="Millares 47 2 2 2 4" xfId="2248" xr:uid="{9C2033FB-F101-4B6E-8310-3FF68FCFAC69}"/>
    <cellStyle name="Millares 47 2 2 2 4 2" xfId="3815" xr:uid="{6B995895-92C5-40EF-8875-943A86BA5BA0}"/>
    <cellStyle name="Millares 47 2 2 2 4 2 2" xfId="6109" xr:uid="{161BD901-774A-4A0D-9A69-11852D6B49B5}"/>
    <cellStyle name="Millares 47 2 2 2 4 2 2 2" xfId="10677" xr:uid="{83998570-4219-4610-8B7C-143B42A5DB89}"/>
    <cellStyle name="Millares 47 2 2 2 4 2 3" xfId="8385" xr:uid="{62B62AA4-F215-48A5-8E13-293838341B88}"/>
    <cellStyle name="Millares 47 2 2 2 4 3" xfId="3259" xr:uid="{08A22BD8-81F0-42D0-9358-9AA521BE3710}"/>
    <cellStyle name="Millares 47 2 2 2 4 3 2" xfId="5683" xr:uid="{77294F67-F3CE-4109-B17D-1228433CC17D}"/>
    <cellStyle name="Millares 47 2 2 2 4 3 2 2" xfId="10251" xr:uid="{A83BC25E-22E0-4993-8301-04B9A2A4BDEA}"/>
    <cellStyle name="Millares 47 2 2 2 4 3 3" xfId="7959" xr:uid="{3B2BB25B-CB9D-4045-B071-5A6C45981460}"/>
    <cellStyle name="Millares 47 2 2 2 4 4" xfId="4674" xr:uid="{53F279CA-F9B9-409A-98DB-128F1E6F0443}"/>
    <cellStyle name="Millares 47 2 2 2 4 4 2" xfId="9242" xr:uid="{83F3B08C-03C5-466F-BA6E-9CC53D210534}"/>
    <cellStyle name="Millares 47 2 2 2 4 5" xfId="6950" xr:uid="{8CAC0087-4D34-4868-9E84-834B211DA6B8}"/>
    <cellStyle name="Millares 47 2 2 2 5" xfId="3603" xr:uid="{F1DB8E31-6171-4C20-86C4-72C3DF2E9782}"/>
    <cellStyle name="Millares 47 2 2 2 5 2" xfId="6007" xr:uid="{E04068C9-48C1-402C-81B3-B1FB3BC180D7}"/>
    <cellStyle name="Millares 47 2 2 2 5 2 2" xfId="10575" xr:uid="{F5C03CE3-BB23-46C7-82A2-7AB15E41C729}"/>
    <cellStyle name="Millares 47 2 2 2 5 3" xfId="8283" xr:uid="{F1FAD2C9-36D4-4B7F-B56B-996E62E6C33F}"/>
    <cellStyle name="Millares 47 2 2 2 6" xfId="2831" xr:uid="{BA0C5886-15FB-4844-B886-5E250B92AA7E}"/>
    <cellStyle name="Millares 47 2 2 2 6 2" xfId="5255" xr:uid="{4D1E9B51-0DA0-4811-A8EC-963DAAB585CE}"/>
    <cellStyle name="Millares 47 2 2 2 6 2 2" xfId="9823" xr:uid="{B3D48A86-C702-4DD1-896E-53975C8B1A7B}"/>
    <cellStyle name="Millares 47 2 2 2 6 3" xfId="7531" xr:uid="{58E79345-9A2A-440B-82A3-C9C430C56377}"/>
    <cellStyle name="Millares 47 2 2 2 7" xfId="4246" xr:uid="{CA45F9C6-3CAD-4AA7-9468-90EC7425180E}"/>
    <cellStyle name="Millares 47 2 2 2 7 2" xfId="8814" xr:uid="{275FD503-9BCD-4337-9919-44D506871A70}"/>
    <cellStyle name="Millares 47 2 2 2 8" xfId="6522" xr:uid="{92668670-85B7-4A98-B73D-858E0EAAE2AE}"/>
    <cellStyle name="Millares 47 2 2 2 9" xfId="1603" xr:uid="{3C5D0AA7-89D1-405B-8946-0873B27E4AC4}"/>
    <cellStyle name="Millares 47 2 2 3" xfId="961" xr:uid="{00000000-0005-0000-0000-00005A020000}"/>
    <cellStyle name="Millares 47 2 2 3 2" xfId="2432" xr:uid="{6BC682A5-38CF-4FA8-9F03-76443D3FFB81}"/>
    <cellStyle name="Millares 47 2 2 3 2 2" xfId="3846" xr:uid="{98390B33-152B-4F2E-915F-F479A8C93919}"/>
    <cellStyle name="Millares 47 2 2 3 2 2 2" xfId="6140" xr:uid="{FBC9946C-4920-467B-AAF7-2BC438110C9F}"/>
    <cellStyle name="Millares 47 2 2 3 2 2 2 2" xfId="10708" xr:uid="{329991F1-4F3B-4056-8D91-DF9E3911E84D}"/>
    <cellStyle name="Millares 47 2 2 3 2 2 3" xfId="8416" xr:uid="{618E2412-696C-4DD0-B325-B8592D049BBD}"/>
    <cellStyle name="Millares 47 2 2 3 2 3" xfId="3443" xr:uid="{D5272602-2853-46DE-B409-5636F5CA5544}"/>
    <cellStyle name="Millares 47 2 2 3 2 3 2" xfId="5867" xr:uid="{9D9843F7-3F88-4D69-9E87-D89B69DD4009}"/>
    <cellStyle name="Millares 47 2 2 3 2 3 2 2" xfId="10435" xr:uid="{48408147-965C-4EDF-A9B5-AF292F20B18A}"/>
    <cellStyle name="Millares 47 2 2 3 2 3 3" xfId="8143" xr:uid="{F95983AA-79CC-43BC-9C65-1758FA5BD85C}"/>
    <cellStyle name="Millares 47 2 2 3 2 4" xfId="4858" xr:uid="{F603E06A-22D1-4C56-A8B6-0BA086AD9905}"/>
    <cellStyle name="Millares 47 2 2 3 2 4 2" xfId="9426" xr:uid="{142A646D-720F-476C-A9A2-F5D8D349EACD}"/>
    <cellStyle name="Millares 47 2 2 3 2 5" xfId="7134" xr:uid="{20F70528-7663-4E05-B5EA-56CF7478CFAA}"/>
    <cellStyle name="Millares 47 2 2 3 3" xfId="3632" xr:uid="{7A068586-CE77-46AA-8BCE-F1218214AD78}"/>
    <cellStyle name="Millares 47 2 2 3 3 2" xfId="6036" xr:uid="{03DE0D8F-87EC-459A-AB6E-CA7310FC5D04}"/>
    <cellStyle name="Millares 47 2 2 3 3 2 2" xfId="10604" xr:uid="{A8E905A3-3937-4961-82A1-6260F733A599}"/>
    <cellStyle name="Millares 47 2 2 3 3 3" xfId="8312" xr:uid="{61CDF4D0-974D-4B50-B002-9F358CD6D90F}"/>
    <cellStyle name="Millares 47 2 2 3 4" xfId="3015" xr:uid="{B1FDC0B1-B74C-4EF1-8D54-2BE0A00ACC95}"/>
    <cellStyle name="Millares 47 2 2 3 4 2" xfId="5439" xr:uid="{ADCCA677-6411-4BF3-9E0B-EACF7F8DC4CD}"/>
    <cellStyle name="Millares 47 2 2 3 4 2 2" xfId="10007" xr:uid="{8B881A60-27C7-412F-B465-9788775A157D}"/>
    <cellStyle name="Millares 47 2 2 3 4 3" xfId="7715" xr:uid="{F0D2B59C-F51B-44C4-A36D-F47FBD13BB34}"/>
    <cellStyle name="Millares 47 2 2 3 5" xfId="4430" xr:uid="{9DECFE6A-724F-4C2D-B4E7-97309AD9AF6F}"/>
    <cellStyle name="Millares 47 2 2 3 5 2" xfId="8998" xr:uid="{82831F6B-765A-4E8A-8159-0786EC4DD7D1}"/>
    <cellStyle name="Millares 47 2 2 3 6" xfId="6706" xr:uid="{0A4CB83C-8334-41E0-A6D7-1EB2A24BC749}"/>
    <cellStyle name="Millares 47 2 2 3 7" xfId="1890" xr:uid="{243467FF-35F0-4B04-9E70-E6B9CDD36F24}"/>
    <cellStyle name="Millares 47 2 2 4" xfId="968" xr:uid="{00000000-0005-0000-0000-00005B020000}"/>
    <cellStyle name="Millares 47 2 2 4 2" xfId="3813" xr:uid="{88264EAE-42BF-4533-9CB6-5AE72129052F}"/>
    <cellStyle name="Millares 47 2 2 4 2 2" xfId="6107" xr:uid="{0C763788-9BC9-4ACE-922D-7DD3AF6239A7}"/>
    <cellStyle name="Millares 47 2 2 4 2 2 2" xfId="10675" xr:uid="{BB18C4C9-33EC-4022-8A2A-1AAB87B0E479}"/>
    <cellStyle name="Millares 47 2 2 4 2 3" xfId="8383" xr:uid="{F1681C17-FC7E-48E5-A7EA-3122E1B7A275}"/>
    <cellStyle name="Millares 47 2 2 4 3" xfId="3256" xr:uid="{EDD4A393-A69B-4605-A06B-7D77C3332F87}"/>
    <cellStyle name="Millares 47 2 2 4 3 2" xfId="5680" xr:uid="{055E0291-5D0E-4A20-A518-CBFC6BA65C62}"/>
    <cellStyle name="Millares 47 2 2 4 3 2 2" xfId="10248" xr:uid="{45A4DD07-6355-44E0-8227-87AF4334CEE1}"/>
    <cellStyle name="Millares 47 2 2 4 3 3" xfId="7956" xr:uid="{E3E760FA-B230-422A-809D-858401266E7A}"/>
    <cellStyle name="Millares 47 2 2 4 4" xfId="4671" xr:uid="{CB0FD3CD-7B8A-401A-9FC3-3C436362ADB0}"/>
    <cellStyle name="Millares 47 2 2 4 4 2" xfId="9239" xr:uid="{2F979168-E70C-4FD6-9CA4-71BA989D7CD4}"/>
    <cellStyle name="Millares 47 2 2 4 5" xfId="6947" xr:uid="{A9055917-4E3B-40CD-ACF1-F953712B7D55}"/>
    <cellStyle name="Millares 47 2 2 4 6" xfId="2245" xr:uid="{E59103B5-8FCE-4CD3-84FF-8B59438295F9}"/>
    <cellStyle name="Millares 47 2 2 5" xfId="3601" xr:uid="{A14333A9-A11A-4AAE-BD7A-EA61982CDBD9}"/>
    <cellStyle name="Millares 47 2 2 5 2" xfId="6005" xr:uid="{022B5D3E-ACC8-4EA8-A130-27F44D6464AA}"/>
    <cellStyle name="Millares 47 2 2 5 2 2" xfId="10573" xr:uid="{67953A45-3CDE-4D90-9471-DD477B1247ED}"/>
    <cellStyle name="Millares 47 2 2 5 3" xfId="8281" xr:uid="{21A775C9-8CE1-4978-94A4-9F4CA2D0C262}"/>
    <cellStyle name="Millares 47 2 2 6" xfId="2828" xr:uid="{AA386384-71F0-42E7-AE46-764B8D97B99C}"/>
    <cellStyle name="Millares 47 2 2 6 2" xfId="5252" xr:uid="{010E39EE-1BB1-4A14-A92B-069C882B1A86}"/>
    <cellStyle name="Millares 47 2 2 6 2 2" xfId="9820" xr:uid="{D3A4A608-34B8-4751-B386-7D3CF4A3E319}"/>
    <cellStyle name="Millares 47 2 2 6 3" xfId="7528" xr:uid="{3B8E22C4-E95D-46BB-B28F-F07C70C1E527}"/>
    <cellStyle name="Millares 47 2 2 7" xfId="4243" xr:uid="{BDBDFD2D-B7D5-40C0-A7D6-60AC7F942E1D}"/>
    <cellStyle name="Millares 47 2 2 7 2" xfId="8811" xr:uid="{650AC0FA-4227-4E7A-9CE0-026070F147B0}"/>
    <cellStyle name="Millares 47 2 2 8" xfId="6519" xr:uid="{1DF859E8-0EA9-47E3-B1D0-4AC935DD9DA6}"/>
    <cellStyle name="Millares 47 2 2 9" xfId="1600" xr:uid="{1DBC69A7-9920-47EE-B335-D7A1D2981192}"/>
    <cellStyle name="Millares 47 2 3" xfId="1883" xr:uid="{3992C549-4965-4F5A-8837-BBCB7BE65E53}"/>
    <cellStyle name="Millares 47 2 3 2" xfId="2425" xr:uid="{50F0A4EC-B3A8-42BD-9D57-A821DB85EED1}"/>
    <cellStyle name="Millares 47 2 3 2 2" xfId="3842" xr:uid="{6112FEF6-F629-44B0-B4BE-F501DA304873}"/>
    <cellStyle name="Millares 47 2 3 2 2 2" xfId="6136" xr:uid="{830F8324-1CB1-43B2-8FCA-2312F9CD9BB1}"/>
    <cellStyle name="Millares 47 2 3 2 2 2 2" xfId="10704" xr:uid="{B32E2384-92DE-478E-A27F-2853E97D63D3}"/>
    <cellStyle name="Millares 47 2 3 2 2 3" xfId="8412" xr:uid="{8A88C47F-AF25-45B1-BA57-3CDDF873F2A2}"/>
    <cellStyle name="Millares 47 2 3 2 3" xfId="3436" xr:uid="{6E70AAFC-EF86-4751-8FCF-83357247DF8C}"/>
    <cellStyle name="Millares 47 2 3 2 3 2" xfId="5860" xr:uid="{DDD9DDD6-E46E-4DE4-97FD-75535FC9665B}"/>
    <cellStyle name="Millares 47 2 3 2 3 2 2" xfId="10428" xr:uid="{C8FFA40D-9FD4-4B10-BE0A-030CEC8ED3FA}"/>
    <cellStyle name="Millares 47 2 3 2 3 3" xfId="8136" xr:uid="{AF0F01BE-85B4-422E-A171-0FFAC5DD2D5A}"/>
    <cellStyle name="Millares 47 2 3 2 4" xfId="4851" xr:uid="{BF622B3B-B924-42FA-A3E3-FD4EA30464EF}"/>
    <cellStyle name="Millares 47 2 3 2 4 2" xfId="9419" xr:uid="{75CE7768-8848-4091-B638-C4E27096299E}"/>
    <cellStyle name="Millares 47 2 3 2 5" xfId="7127" xr:uid="{988C3559-B68B-4074-9540-0EC12D776496}"/>
    <cellStyle name="Millares 47 2 3 3" xfId="3628" xr:uid="{7674B193-0377-4998-9F23-A57814A6BA1F}"/>
    <cellStyle name="Millares 47 2 3 3 2" xfId="6032" xr:uid="{64B47985-E517-4359-8BBF-232F5DEDB0D1}"/>
    <cellStyle name="Millares 47 2 3 3 2 2" xfId="10600" xr:uid="{7F0C2037-AD9E-4E77-904F-DD38EF85A14F}"/>
    <cellStyle name="Millares 47 2 3 3 3" xfId="8308" xr:uid="{7F9F7581-C739-47D2-A861-0B253C4644C0}"/>
    <cellStyle name="Millares 47 2 3 4" xfId="3008" xr:uid="{89952FC2-2D49-47AF-A92D-7CC738894CA0}"/>
    <cellStyle name="Millares 47 2 3 4 2" xfId="5432" xr:uid="{F8FE5571-BFB3-4DB7-BCDC-0B74E47DE6CD}"/>
    <cellStyle name="Millares 47 2 3 4 2 2" xfId="10000" xr:uid="{969D5EC7-C817-44CA-B121-A10FFA4C075B}"/>
    <cellStyle name="Millares 47 2 3 4 3" xfId="7708" xr:uid="{39F79D6A-9747-47FA-BE4D-DF196A0C9361}"/>
    <cellStyle name="Millares 47 2 3 5" xfId="4423" xr:uid="{4CF76AAB-73EF-4A94-A6C2-D9092C2E34DE}"/>
    <cellStyle name="Millares 47 2 3 5 2" xfId="8991" xr:uid="{F5BE9FCB-D0B2-4BDC-A8A1-24E6D4483E9B}"/>
    <cellStyle name="Millares 47 2 3 6" xfId="6699" xr:uid="{9A40EA1F-0591-4380-8216-E354BBDCA461}"/>
    <cellStyle name="Millares 47 2 4" xfId="2238" xr:uid="{D197592B-6876-480C-AC75-9CC54070907D}"/>
    <cellStyle name="Millares 47 2 4 2" xfId="3809" xr:uid="{4628CADA-DF89-4F71-B8FD-66A42B01DE08}"/>
    <cellStyle name="Millares 47 2 4 2 2" xfId="6103" xr:uid="{2FB4B7BE-868C-4848-A0D9-2E81A5B969EF}"/>
    <cellStyle name="Millares 47 2 4 2 2 2" xfId="10671" xr:uid="{0EF8EE2E-6E18-4AA2-A7BE-CB2C82B463AE}"/>
    <cellStyle name="Millares 47 2 4 2 3" xfId="8379" xr:uid="{CAEFDD4C-7129-4127-A7F7-A1D9880125D2}"/>
    <cellStyle name="Millares 47 2 4 3" xfId="3249" xr:uid="{7CD897C3-ACA2-40D3-AFBF-B019DD8B8F8C}"/>
    <cellStyle name="Millares 47 2 4 3 2" xfId="5673" xr:uid="{E0DE51C3-4437-4E89-82E6-5FFBAF33FF0A}"/>
    <cellStyle name="Millares 47 2 4 3 2 2" xfId="10241" xr:uid="{2DE81A8E-2418-417A-B169-1135BBFF8561}"/>
    <cellStyle name="Millares 47 2 4 3 3" xfId="7949" xr:uid="{21B66999-9E68-4B93-8020-609713F8A195}"/>
    <cellStyle name="Millares 47 2 4 4" xfId="4664" xr:uid="{9FDAD13D-710B-401B-8E4D-46911DC4F214}"/>
    <cellStyle name="Millares 47 2 4 4 2" xfId="9232" xr:uid="{0C4532C2-58F2-4E11-9765-BA3977E5A1E5}"/>
    <cellStyle name="Millares 47 2 4 5" xfId="6940" xr:uid="{6D709B7E-1111-4D9D-9329-7173CC3B0518}"/>
    <cellStyle name="Millares 47 2 5" xfId="3597" xr:uid="{D47797FA-50DA-4249-932E-14283586D19C}"/>
    <cellStyle name="Millares 47 2 5 2" xfId="6001" xr:uid="{9B8B5EAD-27A2-454C-A1D9-8D59F2530E2C}"/>
    <cellStyle name="Millares 47 2 5 2 2" xfId="10569" xr:uid="{AA81C95E-2085-4071-97EA-A065D20828B1}"/>
    <cellStyle name="Millares 47 2 5 3" xfId="8277" xr:uid="{77FE82D5-073F-4425-83B1-E731319DAB1A}"/>
    <cellStyle name="Millares 47 2 6" xfId="2821" xr:uid="{4AFA5331-2738-48B0-B802-65B535377F74}"/>
    <cellStyle name="Millares 47 2 6 2" xfId="5245" xr:uid="{9DC607BB-EE01-4237-86D9-D5A9F768391C}"/>
    <cellStyle name="Millares 47 2 6 2 2" xfId="9813" xr:uid="{1F7FAC1A-C93B-4F50-B8F6-39E6533F232C}"/>
    <cellStyle name="Millares 47 2 6 3" xfId="7521" xr:uid="{24D50EAF-96A3-4458-843E-06BE0E486FF1}"/>
    <cellStyle name="Millares 47 2 7" xfId="4236" xr:uid="{A4FF2FF8-F0C4-4C10-8786-E437FA2EC418}"/>
    <cellStyle name="Millares 47 2 7 2" xfId="8804" xr:uid="{39CEF5FE-C5F7-4D43-A76E-767AF5667A6C}"/>
    <cellStyle name="Millares 47 2 8" xfId="6512" xr:uid="{B8AABA4D-C2BE-4395-BBB4-ED79C6BCBDC9}"/>
    <cellStyle name="Millares 47 3" xfId="1882" xr:uid="{AC80B422-3387-4348-B987-32E79394996E}"/>
    <cellStyle name="Millares 47 3 2" xfId="2424" xr:uid="{E5CFA167-0407-4D80-B770-0F3BA16CDE6F}"/>
    <cellStyle name="Millares 47 3 2 2" xfId="3841" xr:uid="{D850BE6B-9A97-4EB8-B792-CBF7866DBD7C}"/>
    <cellStyle name="Millares 47 3 2 2 2" xfId="6135" xr:uid="{6AC98DC2-5B34-4E00-A22F-5D2DD1B90C6F}"/>
    <cellStyle name="Millares 47 3 2 2 2 2" xfId="10703" xr:uid="{932B99DA-5771-4DC6-AC45-FD6347FB3C2F}"/>
    <cellStyle name="Millares 47 3 2 2 3" xfId="8411" xr:uid="{62E17E87-BD94-49C6-9C6A-ED8C608837A5}"/>
    <cellStyle name="Millares 47 3 2 3" xfId="3435" xr:uid="{33A0CC92-4F0F-49C2-BCEC-BB5FC3C0EF8F}"/>
    <cellStyle name="Millares 47 3 2 3 2" xfId="5859" xr:uid="{864137E4-AF94-4D9C-A031-564CF0430E59}"/>
    <cellStyle name="Millares 47 3 2 3 2 2" xfId="10427" xr:uid="{10C61103-9BBF-4DC6-9A57-EB518492226E}"/>
    <cellStyle name="Millares 47 3 2 3 3" xfId="8135" xr:uid="{B8A22BC4-86F1-4B4F-8A06-8B3BBA79E3A8}"/>
    <cellStyle name="Millares 47 3 2 4" xfId="4850" xr:uid="{FD685CE0-99BC-49A9-9864-A89755C7DB08}"/>
    <cellStyle name="Millares 47 3 2 4 2" xfId="9418" xr:uid="{72A3CAEA-7F77-49D2-BE71-13684145D820}"/>
    <cellStyle name="Millares 47 3 2 5" xfId="7126" xr:uid="{328013D4-AE27-4CB9-A925-3F1623BB2389}"/>
    <cellStyle name="Millares 47 3 3" xfId="3627" xr:uid="{F9374EC2-E979-4773-A49F-942510A245E7}"/>
    <cellStyle name="Millares 47 3 3 2" xfId="6031" xr:uid="{32D28C16-85DE-4D56-AA43-ABF84D5C2E22}"/>
    <cellStyle name="Millares 47 3 3 2 2" xfId="10599" xr:uid="{7801BBDA-0CCB-4A5D-8D25-F68D54304304}"/>
    <cellStyle name="Millares 47 3 3 3" xfId="8307" xr:uid="{181B8926-CA1A-40B4-89D0-9EDF07F0A7E6}"/>
    <cellStyle name="Millares 47 3 4" xfId="3007" xr:uid="{251D9BBF-76D8-4C44-BC1B-9BA63F005FAD}"/>
    <cellStyle name="Millares 47 3 4 2" xfId="5431" xr:uid="{0D53BD43-8413-469F-9FF6-282CF3284939}"/>
    <cellStyle name="Millares 47 3 4 2 2" xfId="9999" xr:uid="{CCB03AFE-A80F-4A49-B105-2AD078EFAFE7}"/>
    <cellStyle name="Millares 47 3 4 3" xfId="7707" xr:uid="{297DBC34-0F5C-4621-9742-ACFA5364DDF9}"/>
    <cellStyle name="Millares 47 3 5" xfId="4422" xr:uid="{4959ACFA-A5B5-4D98-817D-FB37A57A4870}"/>
    <cellStyle name="Millares 47 3 5 2" xfId="8990" xr:uid="{C66B6452-4A22-4FDA-BE47-172B3F6C85A8}"/>
    <cellStyle name="Millares 47 3 6" xfId="6698" xr:uid="{5D1496F1-7B41-43C0-9F0A-1971B6968A69}"/>
    <cellStyle name="Millares 47 4" xfId="2237" xr:uid="{7E7500A2-CEB1-4042-9E13-0D5885EC2A8C}"/>
    <cellStyle name="Millares 47 4 2" xfId="3808" xr:uid="{30441F27-6C63-4D77-B9E3-53358A17DCE4}"/>
    <cellStyle name="Millares 47 4 2 2" xfId="6102" xr:uid="{742A9ECB-EB6E-4967-9322-724839426262}"/>
    <cellStyle name="Millares 47 4 2 2 2" xfId="10670" xr:uid="{E973C660-BEAE-4DFB-99C4-F3AFE287B30D}"/>
    <cellStyle name="Millares 47 4 2 3" xfId="8378" xr:uid="{229E5121-A033-4862-B4AF-8245595A7CDB}"/>
    <cellStyle name="Millares 47 4 3" xfId="3248" xr:uid="{DFAD5D2D-2C03-40EC-B454-A93F0F67D080}"/>
    <cellStyle name="Millares 47 4 3 2" xfId="5672" xr:uid="{977E1476-EA0F-47D7-86EC-45ED676E0CCE}"/>
    <cellStyle name="Millares 47 4 3 2 2" xfId="10240" xr:uid="{7F6D2ED3-5AD4-48AE-BABA-CF05F5D7BA91}"/>
    <cellStyle name="Millares 47 4 3 3" xfId="7948" xr:uid="{64E67512-C75B-4015-B531-0F9D1566EEE1}"/>
    <cellStyle name="Millares 47 4 4" xfId="4663" xr:uid="{2639F9CC-3CEB-49A6-B4CC-152B6F4FF834}"/>
    <cellStyle name="Millares 47 4 4 2" xfId="9231" xr:uid="{478331EE-0EBB-46C3-9ADC-4977A7DC61DC}"/>
    <cellStyle name="Millares 47 4 5" xfId="6939" xr:uid="{4771F9C2-81EB-4569-8B73-087992A75DCC}"/>
    <cellStyle name="Millares 47 5" xfId="3596" xr:uid="{B98C83BD-C5AB-4268-9D41-3233249BC2BA}"/>
    <cellStyle name="Millares 47 5 2" xfId="6000" xr:uid="{40B363A5-CB12-451E-A789-FC89910008D3}"/>
    <cellStyle name="Millares 47 5 2 2" xfId="10568" xr:uid="{97FBED11-34E4-43D5-A4E6-BD498CD3F127}"/>
    <cellStyle name="Millares 47 5 3" xfId="8276" xr:uid="{50532537-8C71-448D-8B97-484AA22FC135}"/>
    <cellStyle name="Millares 47 6" xfId="2820" xr:uid="{B2A8EECE-E054-4AB0-9035-00694B065329}"/>
    <cellStyle name="Millares 47 6 2" xfId="5244" xr:uid="{62682DDD-E1B6-4EA3-A50A-B3AE9F068631}"/>
    <cellStyle name="Millares 47 6 2 2" xfId="9812" xr:uid="{76BC9359-D9FD-4157-876A-496F32B3183C}"/>
    <cellStyle name="Millares 47 6 3" xfId="7520" xr:uid="{8C62D673-3C65-4FFF-A476-0EB899DECA76}"/>
    <cellStyle name="Millares 47 7" xfId="4235" xr:uid="{D0D26B6D-5FF8-486E-841A-17854D20A4C8}"/>
    <cellStyle name="Millares 47 7 2" xfId="8803" xr:uid="{6E5DFA20-0996-4090-96A7-2801DC38C323}"/>
    <cellStyle name="Millares 47 8" xfId="6511" xr:uid="{6CB091F0-F945-434C-B05F-8E1D9B11336D}"/>
    <cellStyle name="Millares 47 9" xfId="1592" xr:uid="{5BA70C0B-CE09-45F2-A3D1-1E81F3530CAA}"/>
    <cellStyle name="Millares 48" xfId="972" xr:uid="{00000000-0005-0000-0000-00005C020000}"/>
    <cellStyle name="Millares 48 2" xfId="1897" xr:uid="{807DAF32-DC92-4ADD-8617-7704FD286FA7}"/>
    <cellStyle name="Millares 48 2 2" xfId="2439" xr:uid="{47C7BB18-05C8-4647-B266-5C373F3CDA02}"/>
    <cellStyle name="Millares 48 2 2 2" xfId="3851" xr:uid="{4DFE0682-BE11-4B81-A235-826D1AAE17C0}"/>
    <cellStyle name="Millares 48 2 2 2 2" xfId="6145" xr:uid="{3C542211-36E8-4093-BD7F-047DBFB58961}"/>
    <cellStyle name="Millares 48 2 2 2 2 2" xfId="10713" xr:uid="{BC79E735-96C6-407A-AF06-BA68B6281D2F}"/>
    <cellStyle name="Millares 48 2 2 2 3" xfId="8421" xr:uid="{120BE2FC-B4FB-4FF5-9B57-FA1385D45C47}"/>
    <cellStyle name="Millares 48 2 2 3" xfId="3450" xr:uid="{9EDD4829-B836-4D13-8745-9FD82C3F7C51}"/>
    <cellStyle name="Millares 48 2 2 3 2" xfId="5874" xr:uid="{DB2063E1-A4CC-467A-851F-919817D51068}"/>
    <cellStyle name="Millares 48 2 2 3 2 2" xfId="10442" xr:uid="{AF85CABA-8A78-4B75-94C1-7C58A5150B92}"/>
    <cellStyle name="Millares 48 2 2 3 3" xfId="8150" xr:uid="{867200BE-3152-4720-8F5A-6FBB5CD2BC95}"/>
    <cellStyle name="Millares 48 2 2 4" xfId="4865" xr:uid="{31DC716C-F04F-4F62-B29A-1856DDE86772}"/>
    <cellStyle name="Millares 48 2 2 4 2" xfId="9433" xr:uid="{25BB00E7-1EA4-4731-91AB-B3236DF08417}"/>
    <cellStyle name="Millares 48 2 2 5" xfId="7141" xr:uid="{C2651A56-F4F7-4B8B-835E-6DF7F3D72896}"/>
    <cellStyle name="Millares 48 2 3" xfId="3637" xr:uid="{584958D6-C130-4767-9F4B-55D563BC010C}"/>
    <cellStyle name="Millares 48 2 3 2" xfId="6041" xr:uid="{D4A5E99D-223D-4597-A4E1-6C7DC54FFDD5}"/>
    <cellStyle name="Millares 48 2 3 2 2" xfId="10609" xr:uid="{184779FB-A9CB-419E-BB33-3869E8CBDD62}"/>
    <cellStyle name="Millares 48 2 3 3" xfId="8317" xr:uid="{4F02BE87-8773-4574-9D89-C08661FFA3B3}"/>
    <cellStyle name="Millares 48 2 4" xfId="3022" xr:uid="{EB8A7FC8-6226-4355-B163-C79EE1160104}"/>
    <cellStyle name="Millares 48 2 4 2" xfId="5446" xr:uid="{9DC191AD-B186-4A00-B7B5-4993D12F3180}"/>
    <cellStyle name="Millares 48 2 4 2 2" xfId="10014" xr:uid="{D8AC8C46-EC8D-4B10-B2C8-C41FC7ACE649}"/>
    <cellStyle name="Millares 48 2 4 3" xfId="7722" xr:uid="{F276F887-7A67-4DC6-ACE2-C00AA0ADAD58}"/>
    <cellStyle name="Millares 48 2 5" xfId="4437" xr:uid="{0EDEF75A-CCA0-4AD6-84CB-27DD161D3987}"/>
    <cellStyle name="Millares 48 2 5 2" xfId="9005" xr:uid="{674B8B11-67A5-46BC-9887-6A54283AD476}"/>
    <cellStyle name="Millares 48 2 6" xfId="6713" xr:uid="{F3CF99F2-8F59-49F7-BA72-EEA788D34198}"/>
    <cellStyle name="Millares 48 3" xfId="2252" xr:uid="{826B65C4-0E34-4143-8BF7-1ECDF4486512}"/>
    <cellStyle name="Millares 48 3 2" xfId="3818" xr:uid="{187D354F-08CA-4D5F-AFA9-B7D0668617C7}"/>
    <cellStyle name="Millares 48 3 2 2" xfId="6112" xr:uid="{12A0E746-8060-47CA-9789-71736AFFDF16}"/>
    <cellStyle name="Millares 48 3 2 2 2" xfId="10680" xr:uid="{AB4DAD66-4B81-4CDB-800F-612BCC96ED80}"/>
    <cellStyle name="Millares 48 3 2 3" xfId="8388" xr:uid="{2E9F5FCB-BEED-4AE9-9998-948093916CF1}"/>
    <cellStyle name="Millares 48 3 3" xfId="3263" xr:uid="{C1EEC26C-F614-4920-A711-767103F75B0A}"/>
    <cellStyle name="Millares 48 3 3 2" xfId="5687" xr:uid="{62F4B542-00E2-457D-8CDC-06C365D27757}"/>
    <cellStyle name="Millares 48 3 3 2 2" xfId="10255" xr:uid="{03AB6EE9-2D6C-4341-8C1E-302084886B17}"/>
    <cellStyle name="Millares 48 3 3 3" xfId="7963" xr:uid="{D767BCDC-0098-4D2B-B5B3-7489552F1A8D}"/>
    <cellStyle name="Millares 48 3 4" xfId="4678" xr:uid="{7FDDEFFD-5B71-44BA-95E8-42C5FA45448F}"/>
    <cellStyle name="Millares 48 3 4 2" xfId="9246" xr:uid="{AF803E74-8E01-40B6-98B7-BF6BA197B984}"/>
    <cellStyle name="Millares 48 3 5" xfId="6954" xr:uid="{C9C48267-A8EA-477B-AA57-6B4BE9417B67}"/>
    <cellStyle name="Millares 48 4" xfId="3606" xr:uid="{96FA1118-37DA-4A84-ACAD-C5C84F003463}"/>
    <cellStyle name="Millares 48 4 2" xfId="6010" xr:uid="{698B290F-463E-44B9-8872-53BB00641869}"/>
    <cellStyle name="Millares 48 4 2 2" xfId="10578" xr:uid="{D091F715-D4F3-407A-9E74-A3A04211EFB0}"/>
    <cellStyle name="Millares 48 4 3" xfId="8286" xr:uid="{3633D727-7F0B-48DC-AF6A-C48ECEDB1898}"/>
    <cellStyle name="Millares 48 5" xfId="2835" xr:uid="{4444B1C1-386D-4C8E-B91C-BCF69748F03A}"/>
    <cellStyle name="Millares 48 5 2" xfId="5259" xr:uid="{469D4329-BCFC-4BF0-BDAA-F738780F4DEB}"/>
    <cellStyle name="Millares 48 5 2 2" xfId="9827" xr:uid="{8049B111-4C2C-485C-9313-C11CCF6D8558}"/>
    <cellStyle name="Millares 48 5 3" xfId="7535" xr:uid="{64BD06FC-C45B-4C54-988B-FA2402F71DF4}"/>
    <cellStyle name="Millares 48 6" xfId="4250" xr:uid="{95EB59F2-41C2-4BA6-8FD4-553CD601BAE5}"/>
    <cellStyle name="Millares 48 6 2" xfId="8818" xr:uid="{FE58B581-1FE2-4B75-A29E-C561D20BF36D}"/>
    <cellStyle name="Millares 48 7" xfId="6526" xr:uid="{E5118431-DC7F-43C5-A2AD-F720604608D8}"/>
    <cellStyle name="Millares 48 8" xfId="1607" xr:uid="{D17B3A93-CB39-41EA-A0EB-B7229E2568B3}"/>
    <cellStyle name="Millares 49" xfId="976" xr:uid="{00000000-0005-0000-0000-00005D020000}"/>
    <cellStyle name="Millares 49 2" xfId="1898" xr:uid="{CECA5084-14F8-4F1F-B02D-A56C77DF7186}"/>
    <cellStyle name="Millares 49 2 2" xfId="2440" xr:uid="{D41E346D-7A44-4C48-A30A-3D01FDD9504B}"/>
    <cellStyle name="Millares 49 2 2 2" xfId="3852" xr:uid="{0A9518CA-4272-49A4-8FFC-CAF5439C955F}"/>
    <cellStyle name="Millares 49 2 2 2 2" xfId="6146" xr:uid="{CAB5CE11-84A7-4F51-9E41-1EAB2B90E60C}"/>
    <cellStyle name="Millares 49 2 2 2 2 2" xfId="10714" xr:uid="{8C0FE5CA-53B6-44B1-B543-166A3940718F}"/>
    <cellStyle name="Millares 49 2 2 2 3" xfId="8422" xr:uid="{818F4D0D-A75B-41AB-8982-7F555E1CD158}"/>
    <cellStyle name="Millares 49 2 2 3" xfId="3451" xr:uid="{B9B89B8A-F47D-44BF-A746-FFF8B95CEEA4}"/>
    <cellStyle name="Millares 49 2 2 3 2" xfId="5875" xr:uid="{49A1DB51-B821-42B1-8345-6B0C83B7B6C8}"/>
    <cellStyle name="Millares 49 2 2 3 2 2" xfId="10443" xr:uid="{0FAFA681-5A4F-433C-9CF2-45C4AC6E0141}"/>
    <cellStyle name="Millares 49 2 2 3 3" xfId="8151" xr:uid="{6608F65A-971B-4A93-90D7-4CEB65EAC570}"/>
    <cellStyle name="Millares 49 2 2 4" xfId="4866" xr:uid="{95197022-B3D3-48D3-A587-3D87A705C36D}"/>
    <cellStyle name="Millares 49 2 2 4 2" xfId="9434" xr:uid="{BB29FA4A-2122-4EB8-A726-CAC87837609A}"/>
    <cellStyle name="Millares 49 2 2 5" xfId="7142" xr:uid="{9625EE44-88FC-4C3D-87F9-47C521DCBE5F}"/>
    <cellStyle name="Millares 49 2 3" xfId="3638" xr:uid="{9C4CA3B8-9FA1-4996-BD57-360D972C6F12}"/>
    <cellStyle name="Millares 49 2 3 2" xfId="6042" xr:uid="{BE7EA1C4-881C-4D29-AD60-C457858FB500}"/>
    <cellStyle name="Millares 49 2 3 2 2" xfId="10610" xr:uid="{7B3F6270-3057-410B-BD39-BCDBDBCD4CE2}"/>
    <cellStyle name="Millares 49 2 3 3" xfId="8318" xr:uid="{2DF1EF5F-FCA0-43C6-9A1F-B6EA261232A7}"/>
    <cellStyle name="Millares 49 2 4" xfId="3023" xr:uid="{D8B5FC17-80AC-4BCA-9399-68671479E02F}"/>
    <cellStyle name="Millares 49 2 4 2" xfId="5447" xr:uid="{01A9A4B5-9329-40BD-9414-492A89E36921}"/>
    <cellStyle name="Millares 49 2 4 2 2" xfId="10015" xr:uid="{720149D0-6B1B-4550-B8DB-7062676CB4F1}"/>
    <cellStyle name="Millares 49 2 4 3" xfId="7723" xr:uid="{692793AE-764C-400E-889A-1CFBF6EB6F8F}"/>
    <cellStyle name="Millares 49 2 5" xfId="4438" xr:uid="{6B55C5AE-A22D-4DD9-8AC1-246FC988CF02}"/>
    <cellStyle name="Millares 49 2 5 2" xfId="9006" xr:uid="{3AE3AB28-F5C3-4C4A-855F-C51F90882666}"/>
    <cellStyle name="Millares 49 2 6" xfId="6714" xr:uid="{49D8D5DC-895F-46D0-87A8-D9288CA1B220}"/>
    <cellStyle name="Millares 49 3" xfId="2253" xr:uid="{F40C1126-2258-4A9D-AD47-50C30C9FB06F}"/>
    <cellStyle name="Millares 49 3 2" xfId="3819" xr:uid="{4449A6A5-D483-48AD-92F7-8B275D0BF44B}"/>
    <cellStyle name="Millares 49 3 2 2" xfId="6113" xr:uid="{39A4B22F-B4B5-44E8-9E5C-F7D9DA56D1B5}"/>
    <cellStyle name="Millares 49 3 2 2 2" xfId="10681" xr:uid="{E29D8437-A082-48F7-9A25-7F4ECBED493C}"/>
    <cellStyle name="Millares 49 3 2 3" xfId="8389" xr:uid="{337E84B1-3A11-4F48-86E9-B949533D415A}"/>
    <cellStyle name="Millares 49 3 3" xfId="3264" xr:uid="{6F71646E-B851-427D-9598-6FBE044FEB13}"/>
    <cellStyle name="Millares 49 3 3 2" xfId="5688" xr:uid="{9CEC4ED5-CA50-454A-8C08-11E0E55E2A5A}"/>
    <cellStyle name="Millares 49 3 3 2 2" xfId="10256" xr:uid="{59CC2F0B-A3E3-42AC-9AC8-5B778FB59DAC}"/>
    <cellStyle name="Millares 49 3 3 3" xfId="7964" xr:uid="{77C73ED8-9336-41D0-8A6C-29523362D2EE}"/>
    <cellStyle name="Millares 49 3 4" xfId="4679" xr:uid="{D73E4DF1-8899-48DB-A192-02B04C2E167A}"/>
    <cellStyle name="Millares 49 3 4 2" xfId="9247" xr:uid="{B36A9551-955A-416E-9DF2-F86627F0749A}"/>
    <cellStyle name="Millares 49 3 5" xfId="6955" xr:uid="{E5FB8E50-CCB1-4002-94FA-175CF316C805}"/>
    <cellStyle name="Millares 49 4" xfId="3607" xr:uid="{C7B2BEFC-4D41-4783-B7EB-A08CB1C4EF5D}"/>
    <cellStyle name="Millares 49 4 2" xfId="6011" xr:uid="{40C23AC9-BB5E-4309-8887-EB70B4C7BAEE}"/>
    <cellStyle name="Millares 49 4 2 2" xfId="10579" xr:uid="{32398C4A-8C4F-4C35-A23D-E19AC1AEEFAA}"/>
    <cellStyle name="Millares 49 4 3" xfId="8287" xr:uid="{02E6112A-E659-4573-9516-07BA86502559}"/>
    <cellStyle name="Millares 49 5" xfId="2836" xr:uid="{B542086E-6912-4103-B98F-4B86785D956C}"/>
    <cellStyle name="Millares 49 5 2" xfId="5260" xr:uid="{AC36B843-CDFA-46F0-BB78-158976D0C7DE}"/>
    <cellStyle name="Millares 49 5 2 2" xfId="9828" xr:uid="{7FCD196A-9F3B-455A-A924-867112853EC0}"/>
    <cellStyle name="Millares 49 5 3" xfId="7536" xr:uid="{053F8DDB-E185-407E-90B8-C25DD0CB29D3}"/>
    <cellStyle name="Millares 49 6" xfId="4251" xr:uid="{0FC78A87-E14E-4440-B9C2-6BF517841115}"/>
    <cellStyle name="Millares 49 6 2" xfId="8819" xr:uid="{CE623CFD-9158-464D-822D-89A4D8359447}"/>
    <cellStyle name="Millares 49 7" xfId="6527" xr:uid="{0F3E4934-F26C-4BFA-A326-B0DCA8656EC6}"/>
    <cellStyle name="Millares 49 8" xfId="1608" xr:uid="{395775E5-A604-467D-8FDF-C57C6DFBBBB0}"/>
    <cellStyle name="Millares 5" xfId="487" xr:uid="{00000000-0005-0000-0000-00005E020000}"/>
    <cellStyle name="Millares 5 2" xfId="488" xr:uid="{00000000-0005-0000-0000-00005F020000}"/>
    <cellStyle name="Millares 5 2 2" xfId="489" xr:uid="{00000000-0005-0000-0000-000060020000}"/>
    <cellStyle name="Millares 5 2 2 2" xfId="1742" xr:uid="{D0BA6BEE-4B79-440D-AE12-2226AFB16ED2}"/>
    <cellStyle name="Millares 5 2 2 3" xfId="2101" xr:uid="{82122EEF-7D64-496E-9AEF-C1786FAFC66F}"/>
    <cellStyle name="Millares 5 2 2 3 2" xfId="3754" xr:uid="{714023CB-5C61-459C-B934-DEC2E8F23C1E}"/>
    <cellStyle name="Millares 5 2 2 4" xfId="4099" xr:uid="{70AC1369-131D-4F3C-AAA4-D94BA5F9EE7C}"/>
    <cellStyle name="Millares 5 2 2 4 2" xfId="8668" xr:uid="{1305151A-4D0B-48DF-9B2F-6F5DFB897932}"/>
    <cellStyle name="Millares 5 2 2 5" xfId="1456" xr:uid="{353963F2-678F-48C7-9684-C2E70AAF1E55}"/>
    <cellStyle name="Millares 5 2 3" xfId="1741" xr:uid="{3A12F079-6A67-489E-B491-1222387B92C3}"/>
    <cellStyle name="Millares 5 2 4" xfId="2100" xr:uid="{DADB1937-CE4D-4AF2-83B0-F14EB81BF639}"/>
    <cellStyle name="Millares 5 2 4 2" xfId="3753" xr:uid="{C39883EC-517B-4C5D-8A14-9D47152534DF}"/>
    <cellStyle name="Millares 5 2 5" xfId="4098" xr:uid="{FB356613-0846-40EE-B58E-23423F7FE845}"/>
    <cellStyle name="Millares 5 2 5 2" xfId="8667" xr:uid="{C708C9FF-F844-4E9C-A789-596D2F67E2E1}"/>
    <cellStyle name="Millares 5 2 6" xfId="1455" xr:uid="{340501A1-95AC-40C9-AAE8-DDEF22E09057}"/>
    <cellStyle name="Millares 5 3" xfId="490" xr:uid="{00000000-0005-0000-0000-000061020000}"/>
    <cellStyle name="Millares 5 3 2" xfId="491" xr:uid="{00000000-0005-0000-0000-000062020000}"/>
    <cellStyle name="Millares 5 3 2 2" xfId="1744" xr:uid="{5F2D6B39-ABFB-45D7-B195-E430B8142537}"/>
    <cellStyle name="Millares 5 3 2 3" xfId="2103" xr:uid="{FA9EB396-92C3-44CB-BF43-A2DB6320651D}"/>
    <cellStyle name="Millares 5 3 2 3 2" xfId="3756" xr:uid="{F57610B3-172C-425E-A180-64778FA77080}"/>
    <cellStyle name="Millares 5 3 2 4" xfId="4101" xr:uid="{FC81D1A3-4C9B-4021-B296-993CF747ADD7}"/>
    <cellStyle name="Millares 5 3 2 4 2" xfId="8670" xr:uid="{F40A7498-75C5-45CB-BB04-708E6257A8D8}"/>
    <cellStyle name="Millares 5 3 2 5" xfId="1458" xr:uid="{3EE1BF65-1FE2-4364-8C35-EF3A6550EC16}"/>
    <cellStyle name="Millares 5 3 3" xfId="1743" xr:uid="{57C07F8B-1CEB-418B-905C-EB62CC8EADC1}"/>
    <cellStyle name="Millares 5 3 4" xfId="2102" xr:uid="{DE8F4366-E708-4F0C-8A6A-9AD600FAD040}"/>
    <cellStyle name="Millares 5 3 4 2" xfId="3755" xr:uid="{28FE7305-8748-468C-BA7C-A1BEF7A2559F}"/>
    <cellStyle name="Millares 5 3 5" xfId="4100" xr:uid="{A6A234C3-355A-47E2-9D4A-7E831842F8AF}"/>
    <cellStyle name="Millares 5 3 5 2" xfId="8669" xr:uid="{A236EB8A-A4BA-44D6-BFB0-EEB3D91DF57E}"/>
    <cellStyle name="Millares 5 3 6" xfId="1457" xr:uid="{BBE42999-F43E-4682-A3DE-53C61685FCEC}"/>
    <cellStyle name="Millares 5 4" xfId="492" xr:uid="{00000000-0005-0000-0000-000063020000}"/>
    <cellStyle name="Millares 50" xfId="1013" xr:uid="{00000000-0005-0000-0000-000064020000}"/>
    <cellStyle name="Millares 50 2" xfId="1903" xr:uid="{FF2B5CEC-556B-4E42-B5B1-AF5C7A35890E}"/>
    <cellStyle name="Millares 50 2 2" xfId="2445" xr:uid="{9DD37D0F-E4DA-4CD4-BF5C-7EC2DDC8E947}"/>
    <cellStyle name="Millares 50 2 2 2" xfId="3855" xr:uid="{9A126A2D-8AED-4F5B-A0D4-5435A6FFE535}"/>
    <cellStyle name="Millares 50 2 2 2 2" xfId="6149" xr:uid="{13B7BE80-55E1-4E2B-B273-7C6B94543099}"/>
    <cellStyle name="Millares 50 2 2 2 2 2" xfId="10717" xr:uid="{A2F72906-3A80-4FC6-8A93-04D76EB1B446}"/>
    <cellStyle name="Millares 50 2 2 2 3" xfId="8425" xr:uid="{ED122BD1-029F-46A4-A4C8-8A2681471463}"/>
    <cellStyle name="Millares 50 2 2 3" xfId="3456" xr:uid="{B888D8A2-760D-4055-9E5E-0436CA9BB5B0}"/>
    <cellStyle name="Millares 50 2 2 3 2" xfId="5880" xr:uid="{093862CF-16EB-4527-AA24-C45714FDDDF7}"/>
    <cellStyle name="Millares 50 2 2 3 2 2" xfId="10448" xr:uid="{F0E2E898-4F97-437C-80C2-B466036A9E17}"/>
    <cellStyle name="Millares 50 2 2 3 3" xfId="8156" xr:uid="{43A3903A-5BDC-4AA4-ACBB-55B1FEB27AD3}"/>
    <cellStyle name="Millares 50 2 2 4" xfId="4871" xr:uid="{2A036C99-CE45-4F4C-A51E-B63E1BA31AB2}"/>
    <cellStyle name="Millares 50 2 2 4 2" xfId="9439" xr:uid="{86547A90-D7E7-4465-995D-D4811FD73BD1}"/>
    <cellStyle name="Millares 50 2 2 5" xfId="7147" xr:uid="{FA7FC424-8519-4290-BC05-6FAB57FAFAAD}"/>
    <cellStyle name="Millares 50 2 3" xfId="3641" xr:uid="{0E3D5F4F-6D8C-4CF4-AA11-507CF3811C22}"/>
    <cellStyle name="Millares 50 2 3 2" xfId="6045" xr:uid="{697D509F-B85A-463C-A265-693392B9AABD}"/>
    <cellStyle name="Millares 50 2 3 2 2" xfId="10613" xr:uid="{EAF98144-5B39-4E16-BE3A-1FDA45596BC8}"/>
    <cellStyle name="Millares 50 2 3 3" xfId="8321" xr:uid="{04587E02-FAF5-4994-8B84-782B652D1E23}"/>
    <cellStyle name="Millares 50 2 4" xfId="3028" xr:uid="{4738CE83-E2C1-487C-AB6D-2FC1AC90691F}"/>
    <cellStyle name="Millares 50 2 4 2" xfId="5452" xr:uid="{7F360CBA-E465-4AC9-8563-419BAEF337A5}"/>
    <cellStyle name="Millares 50 2 4 2 2" xfId="10020" xr:uid="{12F3CDA6-A714-4A84-8D4C-B27A7DB0A3F6}"/>
    <cellStyle name="Millares 50 2 4 3" xfId="7728" xr:uid="{1F7395D0-D0C0-4E60-AADA-2CA771F23744}"/>
    <cellStyle name="Millares 50 2 5" xfId="4443" xr:uid="{14E1DBD1-5549-41F9-A436-FF5BCB827427}"/>
    <cellStyle name="Millares 50 2 5 2" xfId="9011" xr:uid="{DC3134E3-1094-4FA4-BB46-66C27EA6C6B6}"/>
    <cellStyle name="Millares 50 2 6" xfId="6719" xr:uid="{D77DE2C8-BC08-4C4C-BBE9-C938D1EEE241}"/>
    <cellStyle name="Millares 50 3" xfId="2258" xr:uid="{7D3822E6-3160-462F-8753-4CFACB69F809}"/>
    <cellStyle name="Millares 50 3 2" xfId="3822" xr:uid="{4490BE23-8A0E-4923-83F8-28EDBDFBCE0D}"/>
    <cellStyle name="Millares 50 3 2 2" xfId="6116" xr:uid="{8BE9C469-4FBF-4EE2-B554-71E1222547BA}"/>
    <cellStyle name="Millares 50 3 2 2 2" xfId="10684" xr:uid="{0F8CB6A1-59F3-4FFC-990E-59595AD1FE56}"/>
    <cellStyle name="Millares 50 3 2 3" xfId="8392" xr:uid="{6ABD0EEA-9D52-4F70-AA08-D7DC92AADD21}"/>
    <cellStyle name="Millares 50 3 3" xfId="3269" xr:uid="{F815A940-F4E0-464B-BAD7-25282C5349CA}"/>
    <cellStyle name="Millares 50 3 3 2" xfId="5693" xr:uid="{1B61EC74-CB59-4EE6-B6BC-3C78C05836C9}"/>
    <cellStyle name="Millares 50 3 3 2 2" xfId="10261" xr:uid="{6ABB2A38-4539-4438-9353-877B0DD45BC2}"/>
    <cellStyle name="Millares 50 3 3 3" xfId="7969" xr:uid="{25515DC2-75A6-4A6C-B65A-371E24179AC4}"/>
    <cellStyle name="Millares 50 3 4" xfId="4684" xr:uid="{6309E53E-56FA-4404-B630-2D901AE97EB0}"/>
    <cellStyle name="Millares 50 3 4 2" xfId="9252" xr:uid="{122E84E7-B0B2-4D43-8CD5-C9A3240E95D9}"/>
    <cellStyle name="Millares 50 3 5" xfId="6960" xr:uid="{550036C6-EBAF-4D7E-A750-82BFF68AAA3A}"/>
    <cellStyle name="Millares 50 4" xfId="3610" xr:uid="{E32CC94A-6F12-412C-9EA3-BCAD6AB93EE5}"/>
    <cellStyle name="Millares 50 4 2" xfId="6014" xr:uid="{B5227712-703D-4937-A3A5-AAAF8D908DA8}"/>
    <cellStyle name="Millares 50 4 2 2" xfId="10582" xr:uid="{0F3E2CDB-75A8-4B6F-9B7B-82D074C9074B}"/>
    <cellStyle name="Millares 50 4 3" xfId="8290" xr:uid="{5131AA44-4734-4F37-B834-C9BAF29B41D0}"/>
    <cellStyle name="Millares 50 5" xfId="2841" xr:uid="{62701A7A-2684-4FA0-A999-010A089DDB02}"/>
    <cellStyle name="Millares 50 5 2" xfId="5265" xr:uid="{9519E58C-EA5E-460F-BEFE-DFE68F76250C}"/>
    <cellStyle name="Millares 50 5 2 2" xfId="9833" xr:uid="{B0A14BEC-8175-41B6-A687-8415D8930927}"/>
    <cellStyle name="Millares 50 5 3" xfId="7541" xr:uid="{6145C1A6-74B8-48D9-AF58-D1F908DC732F}"/>
    <cellStyle name="Millares 50 6" xfId="4256" xr:uid="{08B86A58-6F31-491F-BD1A-7F0DB99211E9}"/>
    <cellStyle name="Millares 50 6 2" xfId="8824" xr:uid="{2FEEB787-60A0-4655-A15C-055D84D7941B}"/>
    <cellStyle name="Millares 50 7" xfId="6532" xr:uid="{C7DB2409-8149-4831-B22C-098416DC7F86}"/>
    <cellStyle name="Millares 50 8" xfId="1613" xr:uid="{7373D727-909A-4DCE-B400-57DC9E1AB373}"/>
    <cellStyle name="Millares 51" xfId="984" xr:uid="{00000000-0005-0000-0000-000065020000}"/>
    <cellStyle name="Millares 51 10" xfId="1153" xr:uid="{00000000-0005-0000-0000-000066020000}"/>
    <cellStyle name="Millares 51 11" xfId="1183" xr:uid="{00000000-0005-0000-0000-000067020000}"/>
    <cellStyle name="Millares 51 12" xfId="1204" xr:uid="{00000000-0005-0000-0000-000068020000}"/>
    <cellStyle name="Millares 51 13" xfId="1218" xr:uid="{00000000-0005-0000-0000-000069020000}"/>
    <cellStyle name="Millares 51 14" xfId="1234" xr:uid="{00000000-0005-0000-0000-00006A020000}"/>
    <cellStyle name="Millares 51 14 2" xfId="1268" xr:uid="{36FC4D12-E95E-4156-A9EF-65F4C8437323}"/>
    <cellStyle name="Millares 51 15" xfId="1287" xr:uid="{83DE0629-6125-483A-A0B1-C6C5BF063C97}"/>
    <cellStyle name="Millares 51 16" xfId="1314" xr:uid="{7BB84240-9BDE-482F-A60B-6B12E4A41FBB}"/>
    <cellStyle name="Millares 51 17" xfId="1620" xr:uid="{E3B8D4D0-7219-496F-9489-741ECA15BF06}"/>
    <cellStyle name="Millares 51 2" xfId="992" xr:uid="{00000000-0005-0000-0000-00006B020000}"/>
    <cellStyle name="Millares 51 2 2" xfId="1103" xr:uid="{00000000-0005-0000-0000-00006C020000}"/>
    <cellStyle name="Millares 51 2 2 2" xfId="1135" xr:uid="{00000000-0005-0000-0000-00006D020000}"/>
    <cellStyle name="Millares 51 2 2 2 2" xfId="6152" xr:uid="{4AF08034-5EF1-4CB5-AAC0-A169A75281B9}"/>
    <cellStyle name="Millares 51 2 2 2 2 2" xfId="10720" xr:uid="{54351381-C2FB-4AA2-BA78-87B1B232BD77}"/>
    <cellStyle name="Millares 51 2 2 2 3" xfId="8428" xr:uid="{3EF7F2FE-1D2D-4600-8A7F-D805879B9BD9}"/>
    <cellStyle name="Millares 51 2 2 2 4" xfId="3858" xr:uid="{20CF52D8-44B1-4664-850D-DCADA47BF52A}"/>
    <cellStyle name="Millares 51 2 2 3" xfId="1154" xr:uid="{00000000-0005-0000-0000-00006E020000}"/>
    <cellStyle name="Millares 51 2 2 3 2" xfId="5887" xr:uid="{DEE87559-9CC5-4865-B952-2AF984A0C799}"/>
    <cellStyle name="Millares 51 2 2 3 2 2" xfId="10455" xr:uid="{2867D6DA-52F4-4511-BA9C-F62C97D53C43}"/>
    <cellStyle name="Millares 51 2 2 3 3" xfId="8163" xr:uid="{22EC015B-DBB8-49A1-BC2C-1BE7DEB60086}"/>
    <cellStyle name="Millares 51 2 2 3 4" xfId="3463" xr:uid="{D8EA706D-7813-4583-9D1B-002BA4AEB34F}"/>
    <cellStyle name="Millares 51 2 2 4" xfId="1170" xr:uid="{00000000-0005-0000-0000-00006F020000}"/>
    <cellStyle name="Millares 51 2 2 4 2" xfId="9446" xr:uid="{A0B32DDB-CB9F-4460-A50B-23898BE19222}"/>
    <cellStyle name="Millares 51 2 2 4 3" xfId="4878" xr:uid="{52FBAF93-A32D-4119-A720-E59FA45636C0}"/>
    <cellStyle name="Millares 51 2 2 5" xfId="1184" xr:uid="{00000000-0005-0000-0000-000070020000}"/>
    <cellStyle name="Millares 51 2 2 5 2" xfId="7154" xr:uid="{57DFDBF1-DFC7-4F7B-9354-64E22F715A71}"/>
    <cellStyle name="Millares 51 2 2 6" xfId="1205" xr:uid="{00000000-0005-0000-0000-000071020000}"/>
    <cellStyle name="Millares 51 2 2 7" xfId="1235" xr:uid="{00000000-0005-0000-0000-000072020000}"/>
    <cellStyle name="Millares 51 2 2 7 2" xfId="1269" xr:uid="{1B539220-9D50-4EE7-BFC4-02EA35E199CA}"/>
    <cellStyle name="Millares 51 2 2 8" xfId="2452" xr:uid="{71B50829-E87D-458B-99A3-565C2FDB2F09}"/>
    <cellStyle name="Millares 51 2 3" xfId="3644" xr:uid="{DD6D3EEC-FC87-4024-8ED0-B46C51CDB7FE}"/>
    <cellStyle name="Millares 51 2 3 2" xfId="6048" xr:uid="{7804DC6B-FFEA-4EA0-9FF5-1BF587DE66B3}"/>
    <cellStyle name="Millares 51 2 3 2 2" xfId="10616" xr:uid="{EFD5BBEB-AB23-4FEA-B619-B1AC138FEC75}"/>
    <cellStyle name="Millares 51 2 3 3" xfId="8324" xr:uid="{4A4F7282-BF43-4274-B9A9-E5EF14CD8FCA}"/>
    <cellStyle name="Millares 51 2 4" xfId="3035" xr:uid="{B48C202F-0168-4917-BF14-F19B846E2C74}"/>
    <cellStyle name="Millares 51 2 4 2" xfId="5459" xr:uid="{0E9014E2-90BF-4880-B498-1809F30605B0}"/>
    <cellStyle name="Millares 51 2 4 2 2" xfId="10027" xr:uid="{7F784B99-6D73-40AC-B1C9-E5E3439F371B}"/>
    <cellStyle name="Millares 51 2 4 3" xfId="7735" xr:uid="{51A59652-9946-446E-89B3-0ED8F0232F9B}"/>
    <cellStyle name="Millares 51 2 5" xfId="4450" xr:uid="{F96B3093-6B79-49BB-A77C-B69460CBECC7}"/>
    <cellStyle name="Millares 51 2 5 2" xfId="9018" xr:uid="{73699327-2A84-4D21-AF4B-8DCF1431BE3F}"/>
    <cellStyle name="Millares 51 2 6" xfId="6726" xr:uid="{427C36AB-06DD-442A-8B4A-9B575D8783F1}"/>
    <cellStyle name="Millares 51 2 7" xfId="1910" xr:uid="{F4534EF6-63AD-483A-B768-3FE30D19F1DC}"/>
    <cellStyle name="Millares 51 3" xfId="1005" xr:uid="{00000000-0005-0000-0000-000073020000}"/>
    <cellStyle name="Millares 51 3 2" xfId="3825" xr:uid="{5ABAC514-C90D-4AD8-91A5-003AD477A012}"/>
    <cellStyle name="Millares 51 3 2 2" xfId="6119" xr:uid="{E839ADE6-ED2F-4FAA-938B-DC83EC08F15E}"/>
    <cellStyle name="Millares 51 3 2 2 2" xfId="10687" xr:uid="{870CEDB6-7DA6-48BB-92AF-37F6EE368040}"/>
    <cellStyle name="Millares 51 3 2 3" xfId="8395" xr:uid="{6B52A446-6DB3-4D18-9A79-51D3A5CB6F94}"/>
    <cellStyle name="Millares 51 3 3" xfId="3276" xr:uid="{94D592F0-2A1F-4D70-A455-A5E60241AFF1}"/>
    <cellStyle name="Millares 51 3 3 2" xfId="5700" xr:uid="{0CCDF3CF-6EB6-4327-AA6B-9B8BE416EE9C}"/>
    <cellStyle name="Millares 51 3 3 2 2" xfId="10268" xr:uid="{857D2F6F-65FE-40A9-87F9-667C2AE3EC2E}"/>
    <cellStyle name="Millares 51 3 3 3" xfId="7976" xr:uid="{787DAF0D-AA53-4851-95DF-50591E403509}"/>
    <cellStyle name="Millares 51 3 4" xfId="4691" xr:uid="{BCD6A154-1F3A-4FF0-AD09-CDCCA8F9275E}"/>
    <cellStyle name="Millares 51 3 4 2" xfId="9259" xr:uid="{E2807B78-791F-4C5D-B985-C50A503E0251}"/>
    <cellStyle name="Millares 51 3 5" xfId="6967" xr:uid="{4362E95B-5451-4AE0-AB1B-86AEB9044FFC}"/>
    <cellStyle name="Millares 51 3 6" xfId="2265" xr:uid="{3A1F8FEB-AA41-44E9-9A24-5C153B8A2E0C}"/>
    <cellStyle name="Millares 51 4" xfId="1043" xr:uid="{00000000-0005-0000-0000-000074020000}"/>
    <cellStyle name="Millares 51 4 2" xfId="6017" xr:uid="{4A2EA49B-7C2A-4574-90E0-50073EC50EE9}"/>
    <cellStyle name="Millares 51 4 2 2" xfId="10585" xr:uid="{DC70BE17-43E7-4FC0-BFBF-80B6083E5EDD}"/>
    <cellStyle name="Millares 51 4 3" xfId="8293" xr:uid="{BD0661A1-BBC6-4C09-98F6-983EBFB17B2A}"/>
    <cellStyle name="Millares 51 4 4" xfId="3613" xr:uid="{90B9D5BA-06D0-4DB6-8E9F-48B5451C44A4}"/>
    <cellStyle name="Millares 51 5" xfId="1056" xr:uid="{00000000-0005-0000-0000-000075020000}"/>
    <cellStyle name="Millares 51 5 2" xfId="5272" xr:uid="{13BE915B-97BF-4E26-97D8-DCCF2B565CC0}"/>
    <cellStyle name="Millares 51 5 2 2" xfId="9840" xr:uid="{1D6BE194-B768-41F5-819E-F170D81B78B8}"/>
    <cellStyle name="Millares 51 5 3" xfId="7548" xr:uid="{B2DF268B-F40F-4F7C-9B5A-52DB3D7B96BF}"/>
    <cellStyle name="Millares 51 5 4" xfId="2848" xr:uid="{5B3D7BF1-BFBA-422D-965E-891CA78C0880}"/>
    <cellStyle name="Millares 51 6" xfId="1072" xr:uid="{00000000-0005-0000-0000-000076020000}"/>
    <cellStyle name="Millares 51 6 2" xfId="8831" xr:uid="{E0912C93-EAB2-4A0A-B75B-EFE4601466BC}"/>
    <cellStyle name="Millares 51 6 3" xfId="4263" xr:uid="{6DF78C92-3F28-4A44-8165-26E943E1F501}"/>
    <cellStyle name="Millares 51 7" xfId="1084" xr:uid="{00000000-0005-0000-0000-000077020000}"/>
    <cellStyle name="Millares 51 7 2" xfId="6539" xr:uid="{92368CF2-79E4-4ADF-93FF-8D94808457CA}"/>
    <cellStyle name="Millares 51 8" xfId="1102" xr:uid="{00000000-0005-0000-0000-000078020000}"/>
    <cellStyle name="Millares 51 9" xfId="1134" xr:uid="{00000000-0005-0000-0000-000079020000}"/>
    <cellStyle name="Millares 52" xfId="987" xr:uid="{00000000-0005-0000-0000-00007A020000}"/>
    <cellStyle name="Millares 52 2" xfId="1912" xr:uid="{A330923F-D897-4AE3-9510-B333CC3578B4}"/>
    <cellStyle name="Millares 52 2 2" xfId="2454" xr:uid="{107BDA63-824B-4155-9E9B-6091066634F1}"/>
    <cellStyle name="Millares 52 2 2 2" xfId="3859" xr:uid="{D4DE77A0-EB84-4B7A-B9AD-D6CF744907E5}"/>
    <cellStyle name="Millares 52 2 2 2 2" xfId="6153" xr:uid="{AC481006-1B7A-438E-A277-B2133091C9BF}"/>
    <cellStyle name="Millares 52 2 2 2 2 2" xfId="10721" xr:uid="{46CDB504-DDEB-402D-8C25-FE723D5BC097}"/>
    <cellStyle name="Millares 52 2 2 2 3" xfId="8429" xr:uid="{2F4BEFDA-487F-4F95-8002-330965BC07C6}"/>
    <cellStyle name="Millares 52 2 2 3" xfId="3465" xr:uid="{A7FE02F1-92A0-48BB-9B62-BE57AEE360B2}"/>
    <cellStyle name="Millares 52 2 2 3 2" xfId="5889" xr:uid="{F40734DB-9714-429A-80E5-BCE4657D281C}"/>
    <cellStyle name="Millares 52 2 2 3 2 2" xfId="10457" xr:uid="{FBD05B4D-E0E7-45CD-87AC-30DACCD4AA5A}"/>
    <cellStyle name="Millares 52 2 2 3 3" xfId="8165" xr:uid="{CA093724-98AB-4983-A9B2-B75ABE196468}"/>
    <cellStyle name="Millares 52 2 2 4" xfId="4880" xr:uid="{C7394998-4223-435E-9149-08C9818CF095}"/>
    <cellStyle name="Millares 52 2 2 4 2" xfId="9448" xr:uid="{45FDD9E4-A81B-4191-9C5C-C26778407E48}"/>
    <cellStyle name="Millares 52 2 2 5" xfId="7156" xr:uid="{0AF65DCD-E701-45B9-B4A2-EFE276E4B0A6}"/>
    <cellStyle name="Millares 52 2 3" xfId="3645" xr:uid="{931ED265-D55B-4CEF-8B79-B82E9FA8C301}"/>
    <cellStyle name="Millares 52 2 3 2" xfId="6049" xr:uid="{36B2EEE9-B2D4-4AD7-A241-8F52E345371E}"/>
    <cellStyle name="Millares 52 2 3 2 2" xfId="10617" xr:uid="{7715AF0D-C426-4344-BAB7-76EA17AD408A}"/>
    <cellStyle name="Millares 52 2 3 3" xfId="8325" xr:uid="{EB581EE6-09DB-4D82-9997-8B9EA5CDC1F6}"/>
    <cellStyle name="Millares 52 2 4" xfId="3037" xr:uid="{07F40493-757E-4B8C-9734-6DB7DD03861E}"/>
    <cellStyle name="Millares 52 2 4 2" xfId="5461" xr:uid="{F2B68256-7AF3-41A2-A937-C85D828C03C9}"/>
    <cellStyle name="Millares 52 2 4 2 2" xfId="10029" xr:uid="{59A6C779-807A-45A1-A889-792BCCC6CF0B}"/>
    <cellStyle name="Millares 52 2 4 3" xfId="7737" xr:uid="{23DF511A-3050-40A1-B8B5-323D3134AADA}"/>
    <cellStyle name="Millares 52 2 5" xfId="4452" xr:uid="{FE310B5A-8FCD-4BB7-A192-958ED64181C4}"/>
    <cellStyle name="Millares 52 2 5 2" xfId="9020" xr:uid="{95F8459E-E307-4993-ACF7-366C50842E06}"/>
    <cellStyle name="Millares 52 2 6" xfId="6728" xr:uid="{BAAA2FF4-DD8A-4F24-8E6D-2343296F2DBB}"/>
    <cellStyle name="Millares 52 3" xfId="2267" xr:uid="{2F20B706-9972-4C23-B71A-61E24C85B4F2}"/>
    <cellStyle name="Millares 52 3 2" xfId="3826" xr:uid="{AF507B08-D6B6-4AFA-A527-9A26193D079E}"/>
    <cellStyle name="Millares 52 3 2 2" xfId="6120" xr:uid="{A113740A-C618-4915-BA83-97CA75348FE2}"/>
    <cellStyle name="Millares 52 3 2 2 2" xfId="10688" xr:uid="{59258B51-A6F2-41F8-A657-BF1E279A7C06}"/>
    <cellStyle name="Millares 52 3 2 3" xfId="8396" xr:uid="{2AD531AF-8A40-4D2F-A141-6EBF248E940E}"/>
    <cellStyle name="Millares 52 3 3" xfId="3278" xr:uid="{51A9FC38-D19C-4562-8F78-C518755D8847}"/>
    <cellStyle name="Millares 52 3 3 2" xfId="5702" xr:uid="{BCD0AF56-FA26-4607-BEC1-1DECBA0626CF}"/>
    <cellStyle name="Millares 52 3 3 2 2" xfId="10270" xr:uid="{67B52483-E300-4FE7-AEA3-8AC41C6E5081}"/>
    <cellStyle name="Millares 52 3 3 3" xfId="7978" xr:uid="{2262BF47-DE54-48C7-9903-EC7FE6E6A99E}"/>
    <cellStyle name="Millares 52 3 4" xfId="4693" xr:uid="{201C68C7-8157-408C-A12D-BE167C9A63F1}"/>
    <cellStyle name="Millares 52 3 4 2" xfId="9261" xr:uid="{251F7518-655F-4D09-97CC-E0D786559909}"/>
    <cellStyle name="Millares 52 3 5" xfId="6969" xr:uid="{77758917-16D0-457D-8026-9097B506C8CF}"/>
    <cellStyle name="Millares 52 4" xfId="3614" xr:uid="{1E39F13D-A4ED-4C47-A674-B63647E1E84A}"/>
    <cellStyle name="Millares 52 4 2" xfId="6018" xr:uid="{29ED12D4-7CD9-44FE-B3C8-3173EE92BEDC}"/>
    <cellStyle name="Millares 52 4 2 2" xfId="10586" xr:uid="{5B800F5A-5963-4FC1-94E0-0E3BCCF2E921}"/>
    <cellStyle name="Millares 52 4 3" xfId="8294" xr:uid="{1400DB4E-9846-4C50-9604-B3E8513DAB6E}"/>
    <cellStyle name="Millares 52 5" xfId="2850" xr:uid="{67028257-D2E8-483F-8104-9E9496918CD0}"/>
    <cellStyle name="Millares 52 5 2" xfId="5274" xr:uid="{8C398457-76DF-46B2-B88F-DDB6ED1C7CBD}"/>
    <cellStyle name="Millares 52 5 2 2" xfId="9842" xr:uid="{8614CB50-A53C-482F-BDAE-CD5CAD7FBFD2}"/>
    <cellStyle name="Millares 52 5 3" xfId="7550" xr:uid="{DD8330C6-3CC9-40F8-9910-BCA47CC32198}"/>
    <cellStyle name="Millares 52 6" xfId="4265" xr:uid="{CF1D526F-5062-4291-A4E8-B104D5F236EF}"/>
    <cellStyle name="Millares 52 6 2" xfId="8833" xr:uid="{1EE669AE-9819-4ECC-A130-C1F1BEAFE085}"/>
    <cellStyle name="Millares 52 7" xfId="6541" xr:uid="{16908309-8205-45FA-ACBE-104C40AE0216}"/>
    <cellStyle name="Millares 52 8" xfId="1622" xr:uid="{AC68D9BF-F151-48A0-98D3-F26A1A0EFD79}"/>
    <cellStyle name="Millares 53" xfId="985" xr:uid="{00000000-0005-0000-0000-00007B020000}"/>
    <cellStyle name="Millares 53 10" xfId="1155" xr:uid="{00000000-0005-0000-0000-00007C020000}"/>
    <cellStyle name="Millares 53 11" xfId="1171" xr:uid="{00000000-0005-0000-0000-00007D020000}"/>
    <cellStyle name="Millares 53 12" xfId="1185" xr:uid="{00000000-0005-0000-0000-00007E020000}"/>
    <cellStyle name="Millares 53 13" xfId="1206" xr:uid="{00000000-0005-0000-0000-00007F020000}"/>
    <cellStyle name="Millares 53 14" xfId="1219" xr:uid="{00000000-0005-0000-0000-000080020000}"/>
    <cellStyle name="Millares 53 15" xfId="1236" xr:uid="{00000000-0005-0000-0000-000081020000}"/>
    <cellStyle name="Millares 53 16" xfId="1270" xr:uid="{B4D473F4-CE40-4593-BD76-E335A567F0F6}"/>
    <cellStyle name="Millares 53 17" xfId="1624" xr:uid="{C4942FA1-AEAE-4645-A8C8-9FD0CA0C41A6}"/>
    <cellStyle name="Millares 53 2" xfId="993" xr:uid="{00000000-0005-0000-0000-000082020000}"/>
    <cellStyle name="Millares 53 2 2" xfId="2456" xr:uid="{EBAC67D6-1241-48C9-9743-842344615843}"/>
    <cellStyle name="Millares 53 2 2 2" xfId="3860" xr:uid="{BD900F12-73FC-407F-9010-37647482D360}"/>
    <cellStyle name="Millares 53 2 2 2 2" xfId="6154" xr:uid="{8878BBAB-86B9-4711-9BD0-6728FA7941C5}"/>
    <cellStyle name="Millares 53 2 2 2 2 2" xfId="10722" xr:uid="{3A9F0E16-EF2C-41C8-9238-3EE9718C0B8A}"/>
    <cellStyle name="Millares 53 2 2 2 3" xfId="8430" xr:uid="{0ED83CE0-16AE-441C-8966-095E7ABE8F0B}"/>
    <cellStyle name="Millares 53 2 2 3" xfId="3467" xr:uid="{B544D421-5998-4CA9-ADE7-DCA1FF1D41F7}"/>
    <cellStyle name="Millares 53 2 2 3 2" xfId="5891" xr:uid="{B2DE5222-B6EF-4F7C-AACC-95BEC0528DD3}"/>
    <cellStyle name="Millares 53 2 2 3 2 2" xfId="10459" xr:uid="{F6EE2230-5D36-499C-B55F-5150F8CFB918}"/>
    <cellStyle name="Millares 53 2 2 3 3" xfId="8167" xr:uid="{B61350F1-362A-4FA5-95C3-9DECABCF673A}"/>
    <cellStyle name="Millares 53 2 2 4" xfId="4882" xr:uid="{FC8F3215-F6EF-48FA-8924-9F19F6738165}"/>
    <cellStyle name="Millares 53 2 2 4 2" xfId="9450" xr:uid="{3DB35225-3AF0-45D3-AC9C-2D7DB8999589}"/>
    <cellStyle name="Millares 53 2 2 5" xfId="7158" xr:uid="{A6A067BC-3475-49B8-A0D9-B3B39837805F}"/>
    <cellStyle name="Millares 53 2 3" xfId="3646" xr:uid="{2BF5EF8D-3CA0-4B6D-85BF-A67E37414729}"/>
    <cellStyle name="Millares 53 2 3 2" xfId="6050" xr:uid="{3ED53EBC-D774-49E3-83C0-1D80BC4B7CB3}"/>
    <cellStyle name="Millares 53 2 3 2 2" xfId="10618" xr:uid="{FE9D78C4-F567-440E-A50D-DB7F4590807D}"/>
    <cellStyle name="Millares 53 2 3 3" xfId="8326" xr:uid="{E85163E6-FCD3-4A66-B5EE-5AAB0620E737}"/>
    <cellStyle name="Millares 53 2 4" xfId="3039" xr:uid="{4CD78B4B-84E7-4A2C-B5E9-123CDA71C78C}"/>
    <cellStyle name="Millares 53 2 4 2" xfId="5463" xr:uid="{5F5EB4FB-917E-4887-A73F-46DD63C0F205}"/>
    <cellStyle name="Millares 53 2 4 2 2" xfId="10031" xr:uid="{7B7E0C1F-F525-4B12-8FAD-8B3779AAC7AD}"/>
    <cellStyle name="Millares 53 2 4 3" xfId="7739" xr:uid="{4397B56E-A745-4716-BC11-49FA57DBDCC8}"/>
    <cellStyle name="Millares 53 2 5" xfId="4454" xr:uid="{A0A085D9-CFDD-48E2-96BF-9E3862BBB720}"/>
    <cellStyle name="Millares 53 2 5 2" xfId="9022" xr:uid="{78EA0A8A-9B0A-4E5C-A89C-6078115B1E92}"/>
    <cellStyle name="Millares 53 2 6" xfId="6730" xr:uid="{4326CE3D-06E2-4EA7-9C90-997B2869F603}"/>
    <cellStyle name="Millares 53 2 7" xfId="1914" xr:uid="{B909D626-2CEF-4F07-A052-CB916EECA859}"/>
    <cellStyle name="Millares 53 3" xfId="1006" xr:uid="{00000000-0005-0000-0000-000083020000}"/>
    <cellStyle name="Millares 53 3 2" xfId="3827" xr:uid="{ED1265F7-6B27-430D-BD8A-01F1AD33DD6B}"/>
    <cellStyle name="Millares 53 3 2 2" xfId="6121" xr:uid="{E3959EA7-D1F0-439F-85C9-D7B65A531CA1}"/>
    <cellStyle name="Millares 53 3 2 2 2" xfId="10689" xr:uid="{B0AEC198-7F34-4A50-AD94-72F2244B4B1E}"/>
    <cellStyle name="Millares 53 3 2 3" xfId="8397" xr:uid="{5A71439F-35D4-49D6-BEDC-4739ED5C5558}"/>
    <cellStyle name="Millares 53 3 3" xfId="3280" xr:uid="{5D429B9F-065F-42AC-8FFE-CE0EEE415868}"/>
    <cellStyle name="Millares 53 3 3 2" xfId="5704" xr:uid="{F1F74D18-54DF-4E11-9D7A-8DCB1B7F9292}"/>
    <cellStyle name="Millares 53 3 3 2 2" xfId="10272" xr:uid="{B30041AF-7ADD-416C-8355-4B30F690B45B}"/>
    <cellStyle name="Millares 53 3 3 3" xfId="7980" xr:uid="{E72EA991-A041-4532-BE07-B94430D213EC}"/>
    <cellStyle name="Millares 53 3 4" xfId="4695" xr:uid="{A7110C5B-C062-4DF8-ABD1-933D23A26800}"/>
    <cellStyle name="Millares 53 3 4 2" xfId="9263" xr:uid="{9907924D-926D-452E-8D07-F90484F57D92}"/>
    <cellStyle name="Millares 53 3 5" xfId="6971" xr:uid="{E1F5C295-F447-4A2F-8EE7-1B4FC6A8E02F}"/>
    <cellStyle name="Millares 53 3 6" xfId="2269" xr:uid="{7FF5FB94-DA1B-4AA5-A6E1-2D26E6DFE20E}"/>
    <cellStyle name="Millares 53 4" xfId="1042" xr:uid="{00000000-0005-0000-0000-000084020000}"/>
    <cellStyle name="Millares 53 4 2" xfId="6019" xr:uid="{D3E6D161-FCAB-4E75-9D4D-7C7EE50EC535}"/>
    <cellStyle name="Millares 53 4 2 2" xfId="10587" xr:uid="{F629FB63-0683-4397-BF4B-B74BF6B5DBB0}"/>
    <cellStyle name="Millares 53 4 3" xfId="8295" xr:uid="{50BBE6C7-8D54-418A-AA6B-65DA7DFE4BF3}"/>
    <cellStyle name="Millares 53 4 4" xfId="3615" xr:uid="{27B16BC9-2BDF-4CCB-97B8-102012A5DDF1}"/>
    <cellStyle name="Millares 53 5" xfId="1055" xr:uid="{00000000-0005-0000-0000-000085020000}"/>
    <cellStyle name="Millares 53 5 2" xfId="5276" xr:uid="{F00E191D-9FFA-4985-8DFD-514F7E2242DA}"/>
    <cellStyle name="Millares 53 5 2 2" xfId="9844" xr:uid="{E11D271C-13FE-4B25-9FFA-F21785341370}"/>
    <cellStyle name="Millares 53 5 3" xfId="7552" xr:uid="{4A9BB857-83AD-4119-858D-A42EDE8C5054}"/>
    <cellStyle name="Millares 53 5 4" xfId="2852" xr:uid="{D6505BE8-8315-4F7D-B572-8B4DEA391BCA}"/>
    <cellStyle name="Millares 53 6" xfId="1073" xr:uid="{00000000-0005-0000-0000-000086020000}"/>
    <cellStyle name="Millares 53 6 2" xfId="8835" xr:uid="{8FDCD73B-CB4F-4A89-A2B5-4E89961CF33E}"/>
    <cellStyle name="Millares 53 6 3" xfId="4267" xr:uid="{84DAE07D-211B-4106-8C09-4C02120C58CF}"/>
    <cellStyle name="Millares 53 7" xfId="1085" xr:uid="{00000000-0005-0000-0000-000087020000}"/>
    <cellStyle name="Millares 53 7 2" xfId="6543" xr:uid="{BEAB82AE-029B-4D68-A0E6-0BA9BF0074E7}"/>
    <cellStyle name="Millares 53 8" xfId="1104" xr:uid="{00000000-0005-0000-0000-000088020000}"/>
    <cellStyle name="Millares 53 9" xfId="1136" xr:uid="{00000000-0005-0000-0000-000089020000}"/>
    <cellStyle name="Millares 54" xfId="1027" xr:uid="{00000000-0005-0000-0000-00008A020000}"/>
    <cellStyle name="Millares 54 2" xfId="1918" xr:uid="{6643FC8A-281B-45AE-B5AF-BA41135093A5}"/>
    <cellStyle name="Millares 54 2 2" xfId="2460" xr:uid="{604D90FA-77C3-4025-9BAB-85E74FB66F3A}"/>
    <cellStyle name="Millares 54 2 2 2" xfId="3861" xr:uid="{C24736CA-FC87-4C78-985C-96E7330F3364}"/>
    <cellStyle name="Millares 54 2 2 2 2" xfId="6155" xr:uid="{D29BFBCA-0A69-49D2-973A-8C9A9F4AD241}"/>
    <cellStyle name="Millares 54 2 2 2 2 2" xfId="10723" xr:uid="{DAD30BD1-82B5-45B6-A9F3-F40462AE5DE8}"/>
    <cellStyle name="Millares 54 2 2 2 3" xfId="8431" xr:uid="{695C9760-AECD-4C16-A03B-F9649FD55D23}"/>
    <cellStyle name="Millares 54 2 2 3" xfId="3471" xr:uid="{7942CB85-859A-461E-ABB3-7A6C3931A863}"/>
    <cellStyle name="Millares 54 2 2 3 2" xfId="5895" xr:uid="{D64BD1C6-7A99-4DC7-B292-987A33EB134E}"/>
    <cellStyle name="Millares 54 2 2 3 2 2" xfId="10463" xr:uid="{EC8A01AC-6FB7-4BEF-ABAD-F71670B0A732}"/>
    <cellStyle name="Millares 54 2 2 3 3" xfId="8171" xr:uid="{378CD220-7AB2-4AD1-9A7E-36AE39AFB738}"/>
    <cellStyle name="Millares 54 2 2 4" xfId="4886" xr:uid="{1EB69065-EA74-4B4D-ACDF-2D30867269F2}"/>
    <cellStyle name="Millares 54 2 2 4 2" xfId="9454" xr:uid="{39FE1C49-D3CF-4EA2-BDFE-DA9E721B64BC}"/>
    <cellStyle name="Millares 54 2 2 5" xfId="7162" xr:uid="{D18423B1-D691-4A99-9827-B97A0AFF47A7}"/>
    <cellStyle name="Millares 54 2 3" xfId="3647" xr:uid="{D4EC6BF0-5B2B-4B73-8DF6-3A592ADD54A0}"/>
    <cellStyle name="Millares 54 2 3 2" xfId="6051" xr:uid="{1BEAE4ED-07E8-452F-B2A3-C890C01ABFDC}"/>
    <cellStyle name="Millares 54 2 3 2 2" xfId="10619" xr:uid="{6BEBD255-88D1-49BE-8253-9C7FCEBCBCEB}"/>
    <cellStyle name="Millares 54 2 3 3" xfId="8327" xr:uid="{EAF9AE08-3DB5-4A16-B05F-42A2FA778A27}"/>
    <cellStyle name="Millares 54 2 4" xfId="3043" xr:uid="{40D4D448-EAB7-4F51-BED4-B5239167A0B6}"/>
    <cellStyle name="Millares 54 2 4 2" xfId="5467" xr:uid="{84DB4C3E-655E-4A49-BE1D-A48EDBC1BB8C}"/>
    <cellStyle name="Millares 54 2 4 2 2" xfId="10035" xr:uid="{90264BDE-A078-42B5-A0B6-B15FB43F36DD}"/>
    <cellStyle name="Millares 54 2 4 3" xfId="7743" xr:uid="{BF06E1A9-2DB3-4DC8-8B13-FD3CAF5F54CE}"/>
    <cellStyle name="Millares 54 2 5" xfId="4458" xr:uid="{CF10CB01-F61E-4351-8D94-4760E13ADE9A}"/>
    <cellStyle name="Millares 54 2 5 2" xfId="9026" xr:uid="{CE09F93F-6A1F-42C1-95F0-64071C819E1D}"/>
    <cellStyle name="Millares 54 2 6" xfId="6734" xr:uid="{0821CE9B-F375-4A23-840F-6EC605F8AFF6}"/>
    <cellStyle name="Millares 54 3" xfId="2273" xr:uid="{49505290-78BB-4C51-AC0C-CECBC60451AC}"/>
    <cellStyle name="Millares 54 3 2" xfId="3828" xr:uid="{1FE884C9-0825-4881-BB77-A1C07B34C27A}"/>
    <cellStyle name="Millares 54 3 2 2" xfId="6122" xr:uid="{BB9B8D2D-F988-4E32-92FF-4593E894FCED}"/>
    <cellStyle name="Millares 54 3 2 2 2" xfId="10690" xr:uid="{EAC0A193-B688-4311-B0A3-9C66FD6371F3}"/>
    <cellStyle name="Millares 54 3 2 3" xfId="8398" xr:uid="{C3DDC63C-EFC1-4763-8561-A4A45F2AFBB0}"/>
    <cellStyle name="Millares 54 3 3" xfId="3284" xr:uid="{37CCBA17-EC74-4C10-867C-02B03D465756}"/>
    <cellStyle name="Millares 54 3 3 2" xfId="5708" xr:uid="{E5002781-295C-4EFB-986F-EEB2F2A4FF76}"/>
    <cellStyle name="Millares 54 3 3 2 2" xfId="10276" xr:uid="{DC44B249-29B0-4248-91E6-FE66C5780777}"/>
    <cellStyle name="Millares 54 3 3 3" xfId="7984" xr:uid="{E9B25585-91F3-4097-84C3-14CDBA1D0A64}"/>
    <cellStyle name="Millares 54 3 4" xfId="4699" xr:uid="{A28AF755-CF99-48B2-BC31-39BABFF1FA18}"/>
    <cellStyle name="Millares 54 3 4 2" xfId="9267" xr:uid="{C79BF4FC-15A5-46E3-AC3B-674E3AE6BCE4}"/>
    <cellStyle name="Millares 54 3 5" xfId="6975" xr:uid="{8C399410-55D6-42A3-88C1-1E4A7F29044E}"/>
    <cellStyle name="Millares 54 4" xfId="3616" xr:uid="{59DA1A3A-449D-43ED-87D4-E0AE86A8172C}"/>
    <cellStyle name="Millares 54 4 2" xfId="6020" xr:uid="{15EAF507-2CD3-49EB-BC7D-65B559745909}"/>
    <cellStyle name="Millares 54 4 2 2" xfId="10588" xr:uid="{0F1C5167-9AB1-46EE-8071-CA18D4956A06}"/>
    <cellStyle name="Millares 54 4 3" xfId="8296" xr:uid="{35423BA4-EF73-4A83-A72A-09EFE5EBDD86}"/>
    <cellStyle name="Millares 54 5" xfId="2856" xr:uid="{BDA8AECF-2149-4C2B-BA50-EEC84DE1FBDD}"/>
    <cellStyle name="Millares 54 5 2" xfId="5280" xr:uid="{DCA982AF-105A-42D5-847D-7BB4F90EC9BD}"/>
    <cellStyle name="Millares 54 5 2 2" xfId="9848" xr:uid="{01879443-0EF7-4B65-A64D-82E638DE8120}"/>
    <cellStyle name="Millares 54 5 3" xfId="7556" xr:uid="{AE393888-253D-4A64-B354-2A1AB9CD8D3B}"/>
    <cellStyle name="Millares 54 6" xfId="4271" xr:uid="{D5A3ECC5-48FC-4299-8C8E-5A16ED864B3B}"/>
    <cellStyle name="Millares 54 6 2" xfId="8839" xr:uid="{FF6834B0-C451-493B-8AB3-DB851A227494}"/>
    <cellStyle name="Millares 54 7" xfId="6547" xr:uid="{1DADF3BF-F09F-47A3-AF15-1F5FC06BE338}"/>
    <cellStyle name="Millares 54 8" xfId="1628" xr:uid="{8FA4804A-3C0B-4D6F-ABE5-B406684B2323}"/>
    <cellStyle name="Millares 55" xfId="1035" xr:uid="{00000000-0005-0000-0000-00008B020000}"/>
    <cellStyle name="Millares 55 2" xfId="1007" xr:uid="{00000000-0005-0000-0000-00008C020000}"/>
    <cellStyle name="Millares 55 2 10" xfId="1966" xr:uid="{C186A987-9DCB-4001-AC7D-220FB6B58CB9}"/>
    <cellStyle name="Millares 55 2 10 2" xfId="2503" xr:uid="{2062C7B5-ABF4-44FA-841C-D88C0F62D07E}"/>
    <cellStyle name="Millares 55 2 10 2 2" xfId="3882" xr:uid="{22291455-9C4E-4DCA-9117-F890D6040C2B}"/>
    <cellStyle name="Millares 55 2 10 2 2 2" xfId="6176" xr:uid="{A9016BB9-CEFA-4F30-A6A0-127497D485B9}"/>
    <cellStyle name="Millares 55 2 10 2 2 2 2" xfId="10744" xr:uid="{E34A2CBB-D3A7-4B15-9B1A-6C4433605383}"/>
    <cellStyle name="Millares 55 2 10 2 2 3" xfId="8452" xr:uid="{1ABD81A8-8E9A-44E0-9279-51B9E95A7D1A}"/>
    <cellStyle name="Millares 55 2 10 2 3" xfId="3514" xr:uid="{AA8EBD3E-9CC2-4648-BF36-E959BE2BF3EE}"/>
    <cellStyle name="Millares 55 2 10 2 3 2" xfId="5938" xr:uid="{B7F2744F-8501-4355-9EFF-AA9C2DDCDB0C}"/>
    <cellStyle name="Millares 55 2 10 2 3 2 2" xfId="10506" xr:uid="{BCEE3C27-02B7-4D19-BF1C-59657E77B65A}"/>
    <cellStyle name="Millares 55 2 10 2 3 3" xfId="8214" xr:uid="{68E1AEF3-D66A-43E4-B422-A8A0DD30EEA2}"/>
    <cellStyle name="Millares 55 2 10 2 4" xfId="4929" xr:uid="{EA47A136-AFD8-4583-8598-3B13FF1A9D38}"/>
    <cellStyle name="Millares 55 2 10 2 4 2" xfId="9497" xr:uid="{F16B9062-055D-42E3-89DB-68F2A2DE3F48}"/>
    <cellStyle name="Millares 55 2 10 2 5" xfId="7205" xr:uid="{B1FF61AE-BC94-45DF-9F34-C1C6F4D5C07F}"/>
    <cellStyle name="Millares 55 2 10 3" xfId="3667" xr:uid="{C399E82D-9537-4D75-952F-BBC474EBAC6C}"/>
    <cellStyle name="Millares 55 2 10 3 2" xfId="6070" xr:uid="{64272F3D-14B0-4920-AE23-FD558B0FD812}"/>
    <cellStyle name="Millares 55 2 10 3 2 2" xfId="10638" xr:uid="{BFCA64AC-FB5F-4CB5-9769-0BE3F43B59D7}"/>
    <cellStyle name="Millares 55 2 10 3 3" xfId="8346" xr:uid="{E4DE00C5-00E0-46BC-9428-DD8D69144CD4}"/>
    <cellStyle name="Millares 55 2 10 4" xfId="3086" xr:uid="{0C894683-8754-4A80-8C53-3D214691732D}"/>
    <cellStyle name="Millares 55 2 10 4 2" xfId="5510" xr:uid="{6FADD868-CE85-4AC0-BA76-7041BBAC2B1A}"/>
    <cellStyle name="Millares 55 2 10 4 2 2" xfId="10078" xr:uid="{D0C71B3B-3078-4128-90FE-9CD9BADDCF6E}"/>
    <cellStyle name="Millares 55 2 10 4 3" xfId="7786" xr:uid="{BE4FF545-2A55-40FC-899A-0D0076E98106}"/>
    <cellStyle name="Millares 55 2 10 5" xfId="4501" xr:uid="{1BB302B0-1479-471E-B83F-075C3480FDA0}"/>
    <cellStyle name="Millares 55 2 10 5 2" xfId="9069" xr:uid="{DB09D296-BEC6-48D3-83A2-15DF4F60B254}"/>
    <cellStyle name="Millares 55 2 10 6" xfId="6777" xr:uid="{697ABC56-CFA7-4BED-847D-E683365FD380}"/>
    <cellStyle name="Millares 55 2 11" xfId="1967" xr:uid="{3CAE6D40-48E0-44E2-8F7B-144C186407F6}"/>
    <cellStyle name="Millares 55 2 11 10" xfId="6778" xr:uid="{C9D8B6E1-C3CE-435C-BDDC-2E5992349899}"/>
    <cellStyle name="Millares 55 2 11 2" xfId="1968" xr:uid="{91294242-5AB5-43B7-B767-5650ED957559}"/>
    <cellStyle name="Millares 55 2 11 2 2" xfId="2505" xr:uid="{24DE5B22-92FC-407E-8C00-8CF5CDEF8261}"/>
    <cellStyle name="Millares 55 2 11 2 2 2" xfId="3884" xr:uid="{D80D4C2F-FB86-400D-93FD-A906A43CFD8A}"/>
    <cellStyle name="Millares 55 2 11 2 2 2 2" xfId="6178" xr:uid="{7A8987CB-0790-4E2A-B5BF-FF925B6D8606}"/>
    <cellStyle name="Millares 55 2 11 2 2 2 2 2" xfId="10746" xr:uid="{0EBCD597-7350-4361-BDC1-B8CA899A9970}"/>
    <cellStyle name="Millares 55 2 11 2 2 2 3" xfId="8454" xr:uid="{765D6E3C-EE5E-4E8E-8637-FB4FEBCAB21F}"/>
    <cellStyle name="Millares 55 2 11 2 2 3" xfId="3516" xr:uid="{2B0215C9-97BA-4894-849E-10FF21EA738B}"/>
    <cellStyle name="Millares 55 2 11 2 2 3 2" xfId="5940" xr:uid="{A74D1A5B-B57E-42C0-839C-44B004F92699}"/>
    <cellStyle name="Millares 55 2 11 2 2 3 2 2" xfId="10508" xr:uid="{44536AB7-9C98-4F9A-884A-D0A240E87A7C}"/>
    <cellStyle name="Millares 55 2 11 2 2 3 3" xfId="8216" xr:uid="{87263010-A087-4D35-B376-D6E0E6441D99}"/>
    <cellStyle name="Millares 55 2 11 2 2 4" xfId="4931" xr:uid="{D8FEF0A8-91F3-429A-8317-8D5857F369DF}"/>
    <cellStyle name="Millares 55 2 11 2 2 4 2" xfId="9499" xr:uid="{3F4A358E-FCEE-4448-A288-4AD78B111429}"/>
    <cellStyle name="Millares 55 2 11 2 2 5" xfId="7207" xr:uid="{C863499E-1EE5-4A91-9A50-B11204C7F7E3}"/>
    <cellStyle name="Millares 55 2 11 2 3" xfId="3669" xr:uid="{C3AB2EF7-C168-4D55-9491-63914427CCD4}"/>
    <cellStyle name="Millares 55 2 11 2 3 2" xfId="6072" xr:uid="{B055B933-A882-4266-BA44-5AED28B013F7}"/>
    <cellStyle name="Millares 55 2 11 2 3 2 2" xfId="10640" xr:uid="{D318F17C-7DEF-4A56-9B09-3D8F154BB6ED}"/>
    <cellStyle name="Millares 55 2 11 2 3 3" xfId="8348" xr:uid="{E034B5E1-4A39-4BAA-86FA-F48AE4F731F1}"/>
    <cellStyle name="Millares 55 2 11 2 4" xfId="3088" xr:uid="{557A83A0-DDF3-4EBD-801F-0FEE1F4978F5}"/>
    <cellStyle name="Millares 55 2 11 2 4 2" xfId="5512" xr:uid="{0D8BB034-A937-48F1-8399-43301513A980}"/>
    <cellStyle name="Millares 55 2 11 2 4 2 2" xfId="10080" xr:uid="{19CA3278-1EC7-4E78-9634-2EE58FCC36B2}"/>
    <cellStyle name="Millares 55 2 11 2 4 3" xfId="7788" xr:uid="{2E40032F-4116-4A72-B593-5007BC33B02A}"/>
    <cellStyle name="Millares 55 2 11 2 5" xfId="4503" xr:uid="{EEF36B1A-1ECE-42D0-855C-8A1C46604745}"/>
    <cellStyle name="Millares 55 2 11 2 5 2" xfId="9071" xr:uid="{16B229B9-5A05-4E67-9219-C502624BE6B0}"/>
    <cellStyle name="Millares 55 2 11 2 6" xfId="6779" xr:uid="{6004BC1A-0BDF-4890-B3FC-8726D3FEC9DF}"/>
    <cellStyle name="Millares 55 2 11 3" xfId="1969" xr:uid="{AE08376D-4CF5-48CF-9916-58C17710479A}"/>
    <cellStyle name="Millares 55 2 11 3 2" xfId="2506" xr:uid="{624A44DC-CCCA-4502-83B4-1852A62E8115}"/>
    <cellStyle name="Millares 55 2 11 3 2 2" xfId="3885" xr:uid="{F5B8739F-4E7C-4778-B887-6660856A694A}"/>
    <cellStyle name="Millares 55 2 11 3 2 2 2" xfId="6179" xr:uid="{07AF92EE-EAC2-433F-9C65-B1938B2BDA6B}"/>
    <cellStyle name="Millares 55 2 11 3 2 2 2 2" xfId="10747" xr:uid="{CF885F53-45E0-4F9C-80DC-FD15F7BA405C}"/>
    <cellStyle name="Millares 55 2 11 3 2 2 3" xfId="8455" xr:uid="{BE75A223-A555-4F47-BFEA-7019976DFFAF}"/>
    <cellStyle name="Millares 55 2 11 3 2 3" xfId="3517" xr:uid="{E836349D-4713-4DE1-A4A8-71B373D8CFCC}"/>
    <cellStyle name="Millares 55 2 11 3 2 3 2" xfId="5941" xr:uid="{305076EC-B615-4393-9A48-1861CD06865E}"/>
    <cellStyle name="Millares 55 2 11 3 2 3 2 2" xfId="10509" xr:uid="{7900D148-34C4-4998-BCF5-374CC38D9DAD}"/>
    <cellStyle name="Millares 55 2 11 3 2 3 3" xfId="8217" xr:uid="{7B0300AD-97EA-4AF3-AAC9-1EF7E886A676}"/>
    <cellStyle name="Millares 55 2 11 3 2 4" xfId="4932" xr:uid="{2F2F05E4-1504-449F-AE9F-0B16989455E6}"/>
    <cellStyle name="Millares 55 2 11 3 2 4 2" xfId="9500" xr:uid="{64FE9E8E-7376-4CE4-9475-290C91FA1CA1}"/>
    <cellStyle name="Millares 55 2 11 3 2 5" xfId="7208" xr:uid="{6607C3E8-899E-4C06-BAD2-7D20B2ADC561}"/>
    <cellStyle name="Millares 55 2 11 3 3" xfId="3670" xr:uid="{58E49178-8EF7-4DA4-87F4-F0C2D554D666}"/>
    <cellStyle name="Millares 55 2 11 3 3 2" xfId="6073" xr:uid="{685A8667-1A02-41DA-94B4-72750B9A8CAE}"/>
    <cellStyle name="Millares 55 2 11 3 3 2 2" xfId="10641" xr:uid="{6D14D08C-52AD-4495-922D-B4A1ADE50E0A}"/>
    <cellStyle name="Millares 55 2 11 3 3 3" xfId="8349" xr:uid="{742E5F22-4E1C-48C8-93EE-37E020E3C1FC}"/>
    <cellStyle name="Millares 55 2 11 3 4" xfId="3089" xr:uid="{BA8635C8-516B-49C7-8161-AFFA6BFC43ED}"/>
    <cellStyle name="Millares 55 2 11 3 4 2" xfId="5513" xr:uid="{546C24C6-46FA-41A1-A2F2-7D25D0B545FA}"/>
    <cellStyle name="Millares 55 2 11 3 4 2 2" xfId="10081" xr:uid="{782C6EB1-33CA-4BF6-BE26-3ADD0EF56A8E}"/>
    <cellStyle name="Millares 55 2 11 3 4 3" xfId="7789" xr:uid="{CD1CF2ED-D88B-406C-BFF8-5650D218E157}"/>
    <cellStyle name="Millares 55 2 11 3 5" xfId="4504" xr:uid="{99E8559A-9A26-4D2E-9A2F-5A97AA044499}"/>
    <cellStyle name="Millares 55 2 11 3 5 2" xfId="9072" xr:uid="{0857E67C-7570-4870-9505-A4919B87ED84}"/>
    <cellStyle name="Millares 55 2 11 3 6" xfId="6780" xr:uid="{2471C067-E417-43FD-BE68-E6132BCDD8CE}"/>
    <cellStyle name="Millares 55 2 11 4" xfId="1970" xr:uid="{C4FFA832-D146-475D-A642-42A730FEF7C5}"/>
    <cellStyle name="Millares 55 2 11 4 10" xfId="6781" xr:uid="{7FAABC12-F1A2-433F-9A54-AE2D26FB1AF1}"/>
    <cellStyle name="Millares 55 2 11 4 2" xfId="1061" xr:uid="{00000000-0005-0000-0000-00008D020000}"/>
    <cellStyle name="Millares 55 2 11 4 2 2" xfId="2509" xr:uid="{4CB00D7B-ACCA-48DC-B319-90848749999B}"/>
    <cellStyle name="Millares 55 2 11 4 2 2 2" xfId="3888" xr:uid="{45909EA0-4099-4B03-A048-9BBD0F63E0A7}"/>
    <cellStyle name="Millares 55 2 11 4 2 2 2 2" xfId="6182" xr:uid="{CB248D62-1E15-4833-9C23-27029AEE3D76}"/>
    <cellStyle name="Millares 55 2 11 4 2 2 2 2 2" xfId="10750" xr:uid="{3691B8C4-46E0-4C88-B8EE-476EBB4C63E7}"/>
    <cellStyle name="Millares 55 2 11 4 2 2 2 3" xfId="8458" xr:uid="{A9FB2F25-839A-48F9-A1BE-DFA4A0F87C11}"/>
    <cellStyle name="Millares 55 2 11 4 2 2 3" xfId="3520" xr:uid="{C92224E6-5523-4AC3-B4E0-A3D552EE8468}"/>
    <cellStyle name="Millares 55 2 11 4 2 2 3 2" xfId="5944" xr:uid="{8F302CA2-C1F7-4D22-B055-E9B355FDB618}"/>
    <cellStyle name="Millares 55 2 11 4 2 2 3 2 2" xfId="10512" xr:uid="{CAF2C908-EA17-4F2C-9583-EBEE1EAB4B32}"/>
    <cellStyle name="Millares 55 2 11 4 2 2 3 3" xfId="8220" xr:uid="{BFF66C7C-71F9-4CD3-AC09-0B875FD6A784}"/>
    <cellStyle name="Millares 55 2 11 4 2 2 4" xfId="4935" xr:uid="{011E3196-2169-4654-9219-C80740C6DDBE}"/>
    <cellStyle name="Millares 55 2 11 4 2 2 4 2" xfId="9503" xr:uid="{AAC06C70-C19A-4280-BFCE-DC2593264316}"/>
    <cellStyle name="Millares 55 2 11 4 2 2 5" xfId="7211" xr:uid="{73F6C09D-00F0-43A7-993A-AE882699E4EF}"/>
    <cellStyle name="Millares 55 2 11 4 2 3" xfId="3673" xr:uid="{04498C6E-B562-4649-B711-AFA83D110571}"/>
    <cellStyle name="Millares 55 2 11 4 2 3 2" xfId="6076" xr:uid="{58A726AA-720F-48A5-B928-B08B832607CC}"/>
    <cellStyle name="Millares 55 2 11 4 2 3 2 2" xfId="10644" xr:uid="{70A82AE1-2825-4184-A0C5-A42A5143662D}"/>
    <cellStyle name="Millares 55 2 11 4 2 3 3" xfId="8352" xr:uid="{3871EBAF-FC6A-4CF6-BB01-758132C7B121}"/>
    <cellStyle name="Millares 55 2 11 4 2 4" xfId="3092" xr:uid="{C5CE61B3-5BDE-4323-AF8E-EBFB18F498AF}"/>
    <cellStyle name="Millares 55 2 11 4 2 4 2" xfId="5516" xr:uid="{102DD368-4249-4856-8CC3-1FC78A9620CC}"/>
    <cellStyle name="Millares 55 2 11 4 2 4 2 2" xfId="10084" xr:uid="{B015355A-E815-49F9-BE60-403331A7BC2B}"/>
    <cellStyle name="Millares 55 2 11 4 2 4 3" xfId="7792" xr:uid="{7DFAD3EE-7F67-4829-ABF3-3B502ED4ECB2}"/>
    <cellStyle name="Millares 55 2 11 4 2 5" xfId="4507" xr:uid="{DCFACDF0-E227-4F7D-9367-668259A451A8}"/>
    <cellStyle name="Millares 55 2 11 4 2 5 2" xfId="9075" xr:uid="{AEFC5F46-6C9B-4F50-ADE9-FE191BBF99A5}"/>
    <cellStyle name="Millares 55 2 11 4 2 6" xfId="6783" xr:uid="{2597B9C3-18B9-48A9-BF77-186AC09D4AE7}"/>
    <cellStyle name="Millares 55 2 11 4 2 7" xfId="1972" xr:uid="{083FBB95-2DCD-4BB7-83A8-4F8A4DE72E8E}"/>
    <cellStyle name="Millares 55 2 11 4 3" xfId="1974" xr:uid="{61B1D4B9-D7D2-4385-97BC-394CEF0624C3}"/>
    <cellStyle name="Millares 55 2 11 4 3 2" xfId="2511" xr:uid="{5F7ABF86-2F65-4633-8488-EB9165D104C7}"/>
    <cellStyle name="Millares 55 2 11 4 3 2 2" xfId="3890" xr:uid="{DF61E4FD-567F-45A4-95C0-A5F06FCB4867}"/>
    <cellStyle name="Millares 55 2 11 4 3 2 2 2" xfId="6184" xr:uid="{3441F4C4-5F77-434B-A722-838BB019C5E0}"/>
    <cellStyle name="Millares 55 2 11 4 3 2 2 2 2" xfId="10752" xr:uid="{ED02926B-87B5-41C2-8228-3F16041B7171}"/>
    <cellStyle name="Millares 55 2 11 4 3 2 2 3" xfId="8460" xr:uid="{2DB046D2-27ED-400A-90DA-BE6470D3F0BD}"/>
    <cellStyle name="Millares 55 2 11 4 3 2 3" xfId="3522" xr:uid="{ABF4C829-F816-42CB-BD75-5AC08E6CEEC2}"/>
    <cellStyle name="Millares 55 2 11 4 3 2 3 2" xfId="5946" xr:uid="{8A693188-1982-425A-A416-BA41BC4977F4}"/>
    <cellStyle name="Millares 55 2 11 4 3 2 3 2 2" xfId="10514" xr:uid="{F03CC492-18EE-4C10-A984-A83B4C56DA5E}"/>
    <cellStyle name="Millares 55 2 11 4 3 2 3 3" xfId="8222" xr:uid="{9F801BE7-D137-4AE4-B3AE-71C56EE15EB0}"/>
    <cellStyle name="Millares 55 2 11 4 3 2 4" xfId="4937" xr:uid="{66D335DC-1DB6-4F58-8FC5-A21006DB2E4D}"/>
    <cellStyle name="Millares 55 2 11 4 3 2 4 2" xfId="9505" xr:uid="{A0424399-C7FF-4617-92A7-C4228A2BA632}"/>
    <cellStyle name="Millares 55 2 11 4 3 2 5" xfId="7213" xr:uid="{73DBF2C0-EEC1-4639-A292-A9CDCC07B0F6}"/>
    <cellStyle name="Millares 55 2 11 4 3 3" xfId="3675" xr:uid="{83382C5B-ED17-4661-BE8B-16B58CC3C4F3}"/>
    <cellStyle name="Millares 55 2 11 4 3 3 2" xfId="6078" xr:uid="{6A53117D-53A7-4EF4-9689-B30EC67F60DA}"/>
    <cellStyle name="Millares 55 2 11 4 3 3 2 2" xfId="10646" xr:uid="{B81FFBE6-F44B-4442-BC22-2E596CD59C4F}"/>
    <cellStyle name="Millares 55 2 11 4 3 3 3" xfId="8354" xr:uid="{30D23019-1A71-409B-8A77-276301545E0C}"/>
    <cellStyle name="Millares 55 2 11 4 3 4" xfId="3094" xr:uid="{8B7A01FF-9CEE-488F-8B68-46329745CE62}"/>
    <cellStyle name="Millares 55 2 11 4 3 4 2" xfId="5518" xr:uid="{AADD94D9-EC8E-49A7-857B-8ED9E3EF9514}"/>
    <cellStyle name="Millares 55 2 11 4 3 4 2 2" xfId="10086" xr:uid="{E466A021-B2A4-457C-8B47-95F5353839C8}"/>
    <cellStyle name="Millares 55 2 11 4 3 4 3" xfId="7794" xr:uid="{C91994FE-41E4-4AAE-9821-0EA4F633F5D1}"/>
    <cellStyle name="Millares 55 2 11 4 3 5" xfId="4509" xr:uid="{8F2E3FF1-8EF0-43BB-B620-B9C44E5A96A4}"/>
    <cellStyle name="Millares 55 2 11 4 3 5 2" xfId="9077" xr:uid="{37C99AD2-4ECB-4A62-AECA-4F38FC90831F}"/>
    <cellStyle name="Millares 55 2 11 4 3 6" xfId="6785" xr:uid="{EAC15734-23B3-4A9E-9FC1-70DA2D57F3E3}"/>
    <cellStyle name="Millares 55 2 11 4 4" xfId="1976" xr:uid="{A7F9C952-9B7A-4F26-B2F8-0377E647D65C}"/>
    <cellStyle name="Millares 55 2 11 4 4 2" xfId="1978" xr:uid="{E0006419-35AA-426F-9F59-00EC057E2C02}"/>
    <cellStyle name="Millares 55 2 11 4 4 2 2" xfId="2515" xr:uid="{53C805D0-8870-482D-868C-B6A6AECF9553}"/>
    <cellStyle name="Millares 55 2 11 4 4 2 2 2" xfId="3894" xr:uid="{D9A085A8-6288-4F32-952F-37419E7607C9}"/>
    <cellStyle name="Millares 55 2 11 4 4 2 2 2 2" xfId="6188" xr:uid="{992B9A12-B3F9-416B-A7D0-3E4B3A5530C6}"/>
    <cellStyle name="Millares 55 2 11 4 4 2 2 2 2 2" xfId="10756" xr:uid="{286D3E1F-F77F-4BE1-914B-A4A8D7CF2E8A}"/>
    <cellStyle name="Millares 55 2 11 4 4 2 2 2 3" xfId="8464" xr:uid="{A0A86459-D3B4-4394-8367-E1561C8D6512}"/>
    <cellStyle name="Millares 55 2 11 4 4 2 2 3" xfId="3526" xr:uid="{DA15D887-A344-4F7B-8767-431D26FC0276}"/>
    <cellStyle name="Millares 55 2 11 4 4 2 2 3 2" xfId="5950" xr:uid="{83D52BEA-9759-482B-A6B3-7CF1FECA46B0}"/>
    <cellStyle name="Millares 55 2 11 4 4 2 2 3 2 2" xfId="10518" xr:uid="{717070CE-BFC0-4682-A00A-3D55E8AA1BBB}"/>
    <cellStyle name="Millares 55 2 11 4 4 2 2 3 3" xfId="8226" xr:uid="{7C39B2EF-B050-48B7-844B-4534B36C87A4}"/>
    <cellStyle name="Millares 55 2 11 4 4 2 2 4" xfId="4941" xr:uid="{AA17D7E6-9AE1-46D9-AEB4-A224202CEC8C}"/>
    <cellStyle name="Millares 55 2 11 4 4 2 2 4 2" xfId="9509" xr:uid="{1879CD3C-9CC5-4ED1-9A56-5D60722118B7}"/>
    <cellStyle name="Millares 55 2 11 4 4 2 2 5" xfId="7217" xr:uid="{67690A51-A0B6-4E6D-85A8-6BBA8F6CF5D1}"/>
    <cellStyle name="Millares 55 2 11 4 4 2 3" xfId="3679" xr:uid="{94AD4ECC-E59F-4F67-B11F-6D65C35AC863}"/>
    <cellStyle name="Millares 55 2 11 4 4 2 3 2" xfId="6082" xr:uid="{3282FE7A-7607-4282-8FDD-783301245838}"/>
    <cellStyle name="Millares 55 2 11 4 4 2 3 2 2" xfId="10650" xr:uid="{F056DB26-4BD0-4312-853D-BCD936130DBB}"/>
    <cellStyle name="Millares 55 2 11 4 4 2 3 3" xfId="8358" xr:uid="{43F5D760-E707-4235-A28E-58569DA0820E}"/>
    <cellStyle name="Millares 55 2 11 4 4 2 4" xfId="3098" xr:uid="{A187C64F-484E-497F-9982-254817AFB966}"/>
    <cellStyle name="Millares 55 2 11 4 4 2 4 2" xfId="5522" xr:uid="{7DEAD160-83FC-469D-9EFE-E3C14C5710F7}"/>
    <cellStyle name="Millares 55 2 11 4 4 2 4 2 2" xfId="10090" xr:uid="{5C912705-216C-4F3D-9676-14E1AB472C8A}"/>
    <cellStyle name="Millares 55 2 11 4 4 2 4 3" xfId="7798" xr:uid="{F040CD00-C435-4B02-B197-294216F81468}"/>
    <cellStyle name="Millares 55 2 11 4 4 2 5" xfId="4513" xr:uid="{C4D1C3B6-5F7B-4202-A6EB-940345929A2A}"/>
    <cellStyle name="Millares 55 2 11 4 4 2 5 2" xfId="9081" xr:uid="{767630B8-19B5-404F-9D85-C3FFC137171D}"/>
    <cellStyle name="Millares 55 2 11 4 4 2 6" xfId="6789" xr:uid="{910E8607-CF95-4852-8006-8D3229B5E9CE}"/>
    <cellStyle name="Millares 55 2 11 4 4 3" xfId="1099" xr:uid="{00000000-0005-0000-0000-00008E020000}"/>
    <cellStyle name="Millares 55 2 11 4 4 3 10" xfId="2531" xr:uid="{4D630CEB-1B5D-4A33-A088-D17CF05C34F5}"/>
    <cellStyle name="Millares 55 2 11 4 4 3 10 2" xfId="3910" xr:uid="{21C4892B-A0F0-4E4F-8407-A4B518BA2ECF}"/>
    <cellStyle name="Millares 55 2 11 4 4 3 10 2 2" xfId="6204" xr:uid="{C83C7C56-8B5D-4B34-AA06-CDDD1515CEA8}"/>
    <cellStyle name="Millares 55 2 11 4 4 3 10 2 2 2" xfId="10772" xr:uid="{C2675253-7F69-45F6-B8F7-8BE9DBFD7E98}"/>
    <cellStyle name="Millares 55 2 11 4 4 3 10 2 3" xfId="8480" xr:uid="{30609E52-18F1-4318-A216-DDEF09D3CB4F}"/>
    <cellStyle name="Millares 55 2 11 4 4 3 10 3" xfId="3542" xr:uid="{190EB96F-C412-4E8D-B1BB-5558EC125BA9}"/>
    <cellStyle name="Millares 55 2 11 4 4 3 10 3 2" xfId="5966" xr:uid="{B52B3491-8BED-4775-9A2E-06015FF50192}"/>
    <cellStyle name="Millares 55 2 11 4 4 3 10 3 2 2" xfId="10534" xr:uid="{BBEFDE19-32D7-4C1A-BE07-EDDDE957F13F}"/>
    <cellStyle name="Millares 55 2 11 4 4 3 10 3 3" xfId="8242" xr:uid="{E5A6E1CE-E23C-4F02-A704-682B4AC1CB69}"/>
    <cellStyle name="Millares 55 2 11 4 4 3 10 4" xfId="4957" xr:uid="{D33D3EE8-7D17-4CBE-87BF-6106662528DC}"/>
    <cellStyle name="Millares 55 2 11 4 4 3 10 4 2" xfId="9525" xr:uid="{BEC90A2F-DB83-48FC-B933-A9D032879313}"/>
    <cellStyle name="Millares 55 2 11 4 4 3 10 5" xfId="7233" xr:uid="{3BD770A3-6B12-4368-9CC7-D8831B78A6C3}"/>
    <cellStyle name="Millares 55 2 11 4 4 3 11" xfId="2533" xr:uid="{890D86DF-ABA2-4F5C-8027-CF874A86F6E1}"/>
    <cellStyle name="Millares 55 2 11 4 4 3 11 2" xfId="3912" xr:uid="{FC44CAFE-C5A2-4C71-A1AD-E2F263597FE0}"/>
    <cellStyle name="Millares 55 2 11 4 4 3 11 2 2" xfId="6206" xr:uid="{49451A92-065C-4B73-B784-CE7CD36A2501}"/>
    <cellStyle name="Millares 55 2 11 4 4 3 11 2 2 2" xfId="10774" xr:uid="{A403BF6C-205C-4484-A3CE-210D1E726547}"/>
    <cellStyle name="Millares 55 2 11 4 4 3 11 2 3" xfId="8482" xr:uid="{0A4340F6-07C8-445C-B1AF-000002AE3BBD}"/>
    <cellStyle name="Millares 55 2 11 4 4 3 11 3" xfId="3544" xr:uid="{E13E88C8-466A-4054-B605-1DA46F7BDA15}"/>
    <cellStyle name="Millares 55 2 11 4 4 3 11 3 2" xfId="5968" xr:uid="{45AA91CF-DBBA-47F2-A917-4F5D04CCC553}"/>
    <cellStyle name="Millares 55 2 11 4 4 3 11 3 2 2" xfId="10536" xr:uid="{373D665F-D9EE-4025-BF4E-8B7FE5E55E3B}"/>
    <cellStyle name="Millares 55 2 11 4 4 3 11 3 3" xfId="8244" xr:uid="{97CF9A71-93EE-4B93-97C4-75C4E6E2E49D}"/>
    <cellStyle name="Millares 55 2 11 4 4 3 11 4" xfId="4959" xr:uid="{EB944741-72FD-4579-AED9-965B59EA152A}"/>
    <cellStyle name="Millares 55 2 11 4 4 3 11 4 2" xfId="9527" xr:uid="{AB6ABCBD-6B01-4868-88BE-8248A346BB1A}"/>
    <cellStyle name="Millares 55 2 11 4 4 3 11 5" xfId="7235" xr:uid="{5A6DBDAA-7939-4751-BE99-BDF359149EC8}"/>
    <cellStyle name="Millares 55 2 11 4 4 3 12" xfId="2535" xr:uid="{5B2D0115-9F6C-43C5-A92F-FF8F971CE839}"/>
    <cellStyle name="Millares 55 2 11 4 4 3 12 2" xfId="3914" xr:uid="{2F92B718-DDB5-4BB6-8F19-75532E6EA15C}"/>
    <cellStyle name="Millares 55 2 11 4 4 3 12 2 2" xfId="6208" xr:uid="{01E40020-7A69-4C0E-9FF0-8DA14972CADB}"/>
    <cellStyle name="Millares 55 2 11 4 4 3 12 2 2 2" xfId="10776" xr:uid="{A5FD4A0A-08E3-4973-B6C7-726266F2902B}"/>
    <cellStyle name="Millares 55 2 11 4 4 3 12 2 3" xfId="8484" xr:uid="{664795FB-65AA-45C8-AEE8-5740E4118F43}"/>
    <cellStyle name="Millares 55 2 11 4 4 3 12 3" xfId="3546" xr:uid="{E8FADF4B-79E2-4320-9D6D-B9EE802F52F9}"/>
    <cellStyle name="Millares 55 2 11 4 4 3 12 3 2" xfId="5970" xr:uid="{8441DC1D-46FC-4265-AF66-8F9868F23923}"/>
    <cellStyle name="Millares 55 2 11 4 4 3 12 3 2 2" xfId="10538" xr:uid="{02C857B0-A178-4AC5-8093-6F983F07E0D9}"/>
    <cellStyle name="Millares 55 2 11 4 4 3 12 3 3" xfId="8246" xr:uid="{01E92456-1FB7-4388-8DA3-2A1A0753A84B}"/>
    <cellStyle name="Millares 55 2 11 4 4 3 12 4" xfId="4961" xr:uid="{C452AABD-CB52-48B2-A3F2-F047524C0DF5}"/>
    <cellStyle name="Millares 55 2 11 4 4 3 12 4 2" xfId="9529" xr:uid="{E69AFF8D-53E0-408A-BD92-27EF40D1A846}"/>
    <cellStyle name="Millares 55 2 11 4 4 3 12 5" xfId="7237" xr:uid="{5AAA4E0D-8983-428E-918C-14AD9163A034}"/>
    <cellStyle name="Millares 55 2 11 4 4 3 13" xfId="2537" xr:uid="{E74E19C4-5888-4DC0-BDF9-DAE7FE837C39}"/>
    <cellStyle name="Millares 55 2 11 4 4 3 13 2" xfId="3916" xr:uid="{3AF609A3-8450-4141-B110-044A6F86D312}"/>
    <cellStyle name="Millares 55 2 11 4 4 3 13 2 2" xfId="6210" xr:uid="{80F56590-8351-4D51-BB9C-C53674669DA2}"/>
    <cellStyle name="Millares 55 2 11 4 4 3 13 2 2 2" xfId="10778" xr:uid="{76028DDB-294A-4926-9D40-C3742B61F254}"/>
    <cellStyle name="Millares 55 2 11 4 4 3 13 2 3" xfId="8486" xr:uid="{082398AF-8113-49BD-AF08-ABC0E7DC6795}"/>
    <cellStyle name="Millares 55 2 11 4 4 3 13 3" xfId="3548" xr:uid="{79390077-0950-4E0E-A3C5-9B5032CC16A1}"/>
    <cellStyle name="Millares 55 2 11 4 4 3 13 3 2" xfId="5972" xr:uid="{751EEC99-46C1-41DF-92A4-E6398E12D40D}"/>
    <cellStyle name="Millares 55 2 11 4 4 3 13 3 2 2" xfId="10540" xr:uid="{E8F5C5D9-2E30-4B13-90E5-78118E684F77}"/>
    <cellStyle name="Millares 55 2 11 4 4 3 13 3 3" xfId="8248" xr:uid="{D6399890-D503-4334-8281-4D92B205D269}"/>
    <cellStyle name="Millares 55 2 11 4 4 3 13 4" xfId="4963" xr:uid="{2169BEE2-1A52-475E-AB4F-6D41BA53652B}"/>
    <cellStyle name="Millares 55 2 11 4 4 3 13 4 2" xfId="9531" xr:uid="{FE6FC262-60A9-4428-AF49-0B382C6F6F2E}"/>
    <cellStyle name="Millares 55 2 11 4 4 3 13 5" xfId="7239" xr:uid="{5F6BA8F5-89C4-471D-BC0F-B2A48C13A52D}"/>
    <cellStyle name="Millares 55 2 11 4 4 3 14" xfId="2539" xr:uid="{05CCFF65-888A-4AE1-9C3F-761EBAD59DB8}"/>
    <cellStyle name="Millares 55 2 11 4 4 3 14 2" xfId="3918" xr:uid="{0D049E6D-2316-4F24-BFB6-C04871628B07}"/>
    <cellStyle name="Millares 55 2 11 4 4 3 14 2 2" xfId="6212" xr:uid="{A95D7D7C-29DD-45B8-85F5-34A6E568A8EF}"/>
    <cellStyle name="Millares 55 2 11 4 4 3 14 2 2 2" xfId="10780" xr:uid="{BF827013-3018-4861-A635-791C94E30D41}"/>
    <cellStyle name="Millares 55 2 11 4 4 3 14 2 3" xfId="8488" xr:uid="{E42AB834-7404-4020-B1DE-CDF3E08C429B}"/>
    <cellStyle name="Millares 55 2 11 4 4 3 14 3" xfId="3550" xr:uid="{D86C9EEC-F6CE-4DF7-A478-2E9A023DF24F}"/>
    <cellStyle name="Millares 55 2 11 4 4 3 14 3 2" xfId="5974" xr:uid="{977DBE43-5BF8-46E0-A5FB-F68EACD23D24}"/>
    <cellStyle name="Millares 55 2 11 4 4 3 14 3 2 2" xfId="10542" xr:uid="{906985BE-E554-4979-AFAE-D3B40A484AEB}"/>
    <cellStyle name="Millares 55 2 11 4 4 3 14 3 3" xfId="8250" xr:uid="{769CF96D-031A-45A7-81CF-9F9A5D764EEF}"/>
    <cellStyle name="Millares 55 2 11 4 4 3 14 4" xfId="4965" xr:uid="{966D0E17-F504-4C3C-BF7A-633E5920E29D}"/>
    <cellStyle name="Millares 55 2 11 4 4 3 14 4 2" xfId="9533" xr:uid="{589CA323-F551-49FC-B258-19ADDC8F764C}"/>
    <cellStyle name="Millares 55 2 11 4 4 3 14 5" xfId="7241" xr:uid="{68E4E077-A951-417D-A760-3E50C12FD04E}"/>
    <cellStyle name="Millares 55 2 11 4 4 3 15" xfId="2541" xr:uid="{3460F75B-BD79-477A-A882-FBD3A5B103CA}"/>
    <cellStyle name="Millares 55 2 11 4 4 3 15 2" xfId="3920" xr:uid="{48344C90-1898-42E1-980C-2F8D1B6EF6E7}"/>
    <cellStyle name="Millares 55 2 11 4 4 3 15 2 2" xfId="6214" xr:uid="{8F27F2DC-ED93-462A-B358-DC5E94B94E09}"/>
    <cellStyle name="Millares 55 2 11 4 4 3 15 2 2 2" xfId="10782" xr:uid="{66EA9B65-7791-497F-B971-DC9065C227D5}"/>
    <cellStyle name="Millares 55 2 11 4 4 3 15 2 3" xfId="8490" xr:uid="{7BD6D214-FF29-481C-9F25-28DE643F20FE}"/>
    <cellStyle name="Millares 55 2 11 4 4 3 15 3" xfId="3552" xr:uid="{7058590E-B660-4EB8-BE38-0E1BA5DB0F41}"/>
    <cellStyle name="Millares 55 2 11 4 4 3 15 3 2" xfId="5976" xr:uid="{A4533EE3-89D1-4115-AEB5-0C9F921E9490}"/>
    <cellStyle name="Millares 55 2 11 4 4 3 15 3 2 2" xfId="10544" xr:uid="{D5A1C448-FF2B-4DE6-A25F-10FC93A31C32}"/>
    <cellStyle name="Millares 55 2 11 4 4 3 15 3 3" xfId="8252" xr:uid="{90193AB1-5ACC-4325-9B28-3820FB03EBC6}"/>
    <cellStyle name="Millares 55 2 11 4 4 3 15 4" xfId="4967" xr:uid="{463E4A1B-10C9-4EB2-9470-AD971317099D}"/>
    <cellStyle name="Millares 55 2 11 4 4 3 15 4 2" xfId="9535" xr:uid="{CB5FF38A-23B9-4E5B-84D4-BCF5E321EF14}"/>
    <cellStyle name="Millares 55 2 11 4 4 3 15 5" xfId="7243" xr:uid="{558C67A6-4725-47F3-9839-73F670DC7957}"/>
    <cellStyle name="Millares 55 2 11 4 4 3 16" xfId="2543" xr:uid="{A42458FF-15BC-469F-8CBD-6EAB0D4E22CE}"/>
    <cellStyle name="Millares 55 2 11 4 4 3 16 2" xfId="3922" xr:uid="{4D32A75B-9E5F-42FA-A766-25510084B6AB}"/>
    <cellStyle name="Millares 55 2 11 4 4 3 16 2 2" xfId="6216" xr:uid="{D4B56FCA-B324-47F3-B02B-233A99A33897}"/>
    <cellStyle name="Millares 55 2 11 4 4 3 16 2 2 2" xfId="10784" xr:uid="{A8874468-37D5-4955-826A-E1AE2CD624AA}"/>
    <cellStyle name="Millares 55 2 11 4 4 3 16 2 3" xfId="8492" xr:uid="{36AED125-EB3C-4E0A-90DF-3D118103DCB4}"/>
    <cellStyle name="Millares 55 2 11 4 4 3 16 3" xfId="3554" xr:uid="{55DF8B14-4E75-4AC3-B44B-5B7F36EC1CAC}"/>
    <cellStyle name="Millares 55 2 11 4 4 3 16 3 2" xfId="5978" xr:uid="{4E415D3E-82D0-4630-80ED-2F81C0E4B83E}"/>
    <cellStyle name="Millares 55 2 11 4 4 3 16 3 2 2" xfId="10546" xr:uid="{EF510DBF-ACE2-4A22-9FDC-3738EF9152AC}"/>
    <cellStyle name="Millares 55 2 11 4 4 3 16 3 3" xfId="8254" xr:uid="{501C1A55-4FF1-4DA2-8B27-E4AEFF8BC01A}"/>
    <cellStyle name="Millares 55 2 11 4 4 3 16 4" xfId="4969" xr:uid="{1A4289D5-ADB8-4C21-B4EB-9CE3FE696F67}"/>
    <cellStyle name="Millares 55 2 11 4 4 3 16 4 2" xfId="9537" xr:uid="{72D221C7-5198-4400-A9B4-0D7B5C4E7CA2}"/>
    <cellStyle name="Millares 55 2 11 4 4 3 16 5" xfId="7245" xr:uid="{3C517521-EF40-40DD-AC3D-6BEDF765BA1E}"/>
    <cellStyle name="Millares 55 2 11 4 4 3 17" xfId="2545" xr:uid="{2353D78D-6A5A-4B08-B598-8D3F38F5764F}"/>
    <cellStyle name="Millares 55 2 11 4 4 3 17 2" xfId="3924" xr:uid="{FA495C5B-955C-4F72-ADFD-D9115F1F06CD}"/>
    <cellStyle name="Millares 55 2 11 4 4 3 17 2 2" xfId="6218" xr:uid="{C86AB451-19FD-4F73-8D4F-B2ABB9A5C35E}"/>
    <cellStyle name="Millares 55 2 11 4 4 3 17 2 2 2" xfId="10786" xr:uid="{9536EED4-9039-4311-A7A7-0D2EE5807E78}"/>
    <cellStyle name="Millares 55 2 11 4 4 3 17 2 3" xfId="8494" xr:uid="{A19B98EF-3634-4A73-BFD9-1C5D2B69BA49}"/>
    <cellStyle name="Millares 55 2 11 4 4 3 17 3" xfId="3556" xr:uid="{AF7E3FA1-2D57-4D49-906D-7E4126EFE6ED}"/>
    <cellStyle name="Millares 55 2 11 4 4 3 17 3 2" xfId="5980" xr:uid="{34B2C58D-CE47-4510-AE9D-A65D3E050A2B}"/>
    <cellStyle name="Millares 55 2 11 4 4 3 17 3 2 2" xfId="10548" xr:uid="{07AFD319-EB18-4EE0-A6A7-95C33022FCCA}"/>
    <cellStyle name="Millares 55 2 11 4 4 3 17 3 3" xfId="8256" xr:uid="{67E68431-639B-4C57-9D3C-879675E2F21E}"/>
    <cellStyle name="Millares 55 2 11 4 4 3 17 4" xfId="4971" xr:uid="{8B534050-0595-40C2-B065-2DAA215A3291}"/>
    <cellStyle name="Millares 55 2 11 4 4 3 17 4 2" xfId="9539" xr:uid="{05CEE896-DEB6-41C6-A4C7-4646D6FDD18A}"/>
    <cellStyle name="Millares 55 2 11 4 4 3 17 5" xfId="7247" xr:uid="{97160F03-9084-4A16-9E12-62C12C57B54E}"/>
    <cellStyle name="Millares 55 2 11 4 4 3 18" xfId="2547" xr:uid="{AB01177A-5710-4429-839C-7894118EF19E}"/>
    <cellStyle name="Millares 55 2 11 4 4 3 18 2" xfId="3926" xr:uid="{898D1B94-56A1-4A2A-92D1-D94F82091725}"/>
    <cellStyle name="Millares 55 2 11 4 4 3 18 2 2" xfId="6220" xr:uid="{B48FB0BD-5F96-4DDF-B657-EA2251C8C219}"/>
    <cellStyle name="Millares 55 2 11 4 4 3 18 2 2 2" xfId="10788" xr:uid="{C3F86998-0A58-4410-99BC-9F84F4DFDE89}"/>
    <cellStyle name="Millares 55 2 11 4 4 3 18 2 3" xfId="8496" xr:uid="{FE2C0418-7551-4121-AE62-9DA33C4F8E9E}"/>
    <cellStyle name="Millares 55 2 11 4 4 3 18 3" xfId="3558" xr:uid="{CE463EE2-3DD9-49E2-86DA-B9CC2A679FEC}"/>
    <cellStyle name="Millares 55 2 11 4 4 3 18 3 2" xfId="5982" xr:uid="{62A80FA0-919D-41F8-8EBA-D01A2C0EC2B4}"/>
    <cellStyle name="Millares 55 2 11 4 4 3 18 3 2 2" xfId="10550" xr:uid="{392010E2-62F2-4060-AB4A-0862B35D208F}"/>
    <cellStyle name="Millares 55 2 11 4 4 3 18 3 3" xfId="8258" xr:uid="{D0905782-C386-488A-B8DE-866A45DA1790}"/>
    <cellStyle name="Millares 55 2 11 4 4 3 18 4" xfId="4973" xr:uid="{BC357D7A-4F7B-4C81-9260-5042A36C08EB}"/>
    <cellStyle name="Millares 55 2 11 4 4 3 18 4 2" xfId="9541" xr:uid="{4AB4BAA5-D6A4-44EF-AF9B-A6042146DB23}"/>
    <cellStyle name="Millares 55 2 11 4 4 3 18 5" xfId="7249" xr:uid="{4AA02C02-5A02-4059-9DD5-DCD448E7337F}"/>
    <cellStyle name="Millares 55 2 11 4 4 3 19" xfId="1142" xr:uid="{00000000-0005-0000-0000-00008F020000}"/>
    <cellStyle name="Millares 55 2 11 4 4 3 19 2" xfId="3928" xr:uid="{D2DE7398-0E4C-4584-8ECF-3BA666CEE942}"/>
    <cellStyle name="Millares 55 2 11 4 4 3 19 2 2" xfId="6222" xr:uid="{F3811BD1-45C0-4F3A-AB35-AF88C8ABFC82}"/>
    <cellStyle name="Millares 55 2 11 4 4 3 19 2 2 2" xfId="10790" xr:uid="{06A405F4-3EBF-4FDE-BB8E-EB9E7F718610}"/>
    <cellStyle name="Millares 55 2 11 4 4 3 19 2 3" xfId="8498" xr:uid="{BB995D83-EB56-4185-BEAE-23F34B1E9345}"/>
    <cellStyle name="Millares 55 2 11 4 4 3 19 3" xfId="3560" xr:uid="{0016BC13-9732-4E1B-BBDA-8CE4F27321FE}"/>
    <cellStyle name="Millares 55 2 11 4 4 3 19 3 2" xfId="5984" xr:uid="{768BB5ED-C7F0-4736-9C65-5D4D02C8B970}"/>
    <cellStyle name="Millares 55 2 11 4 4 3 19 3 2 2" xfId="10552" xr:uid="{6DE31D11-2819-4652-B097-C1E35A20B6DA}"/>
    <cellStyle name="Millares 55 2 11 4 4 3 19 3 3" xfId="8260" xr:uid="{3DD54952-D043-4395-890A-25190B71C818}"/>
    <cellStyle name="Millares 55 2 11 4 4 3 19 4" xfId="4975" xr:uid="{6C5A57E9-1EF9-4F08-8412-031219802FDF}"/>
    <cellStyle name="Millares 55 2 11 4 4 3 19 4 2" xfId="9543" xr:uid="{DA1C65F4-B990-4E00-B311-BCC07CDF8DA2}"/>
    <cellStyle name="Millares 55 2 11 4 4 3 19 5" xfId="7251" xr:uid="{AFA0CF7A-88D4-4E49-9426-69AC49493C97}"/>
    <cellStyle name="Millares 55 2 11 4 4 3 19 6" xfId="2549" xr:uid="{60AA92CA-4350-4E30-B9ED-5A8E17612BE6}"/>
    <cellStyle name="Millares 55 2 11 4 4 3 2" xfId="1115" xr:uid="{00000000-0005-0000-0000-000090020000}"/>
    <cellStyle name="Millares 55 2 11 4 4 3 2 2" xfId="2519" xr:uid="{361D2D92-0527-4792-880F-CA9AD0059BCE}"/>
    <cellStyle name="Millares 55 2 11 4 4 3 2 2 2" xfId="3898" xr:uid="{944A5409-C6A0-4606-932A-110D51238EC5}"/>
    <cellStyle name="Millares 55 2 11 4 4 3 2 2 2 2" xfId="6192" xr:uid="{5328F122-3397-4811-B517-0A28E6600C91}"/>
    <cellStyle name="Millares 55 2 11 4 4 3 2 2 2 2 2" xfId="10760" xr:uid="{020B4571-ECA7-4DA8-ACAC-781406E4F39E}"/>
    <cellStyle name="Millares 55 2 11 4 4 3 2 2 2 3" xfId="8468" xr:uid="{AA0C9D1B-4571-4895-86AD-2D926E62EAD5}"/>
    <cellStyle name="Millares 55 2 11 4 4 3 2 2 3" xfId="3530" xr:uid="{F9F0964B-A803-407F-B219-0489FA5481A3}"/>
    <cellStyle name="Millares 55 2 11 4 4 3 2 2 3 2" xfId="5954" xr:uid="{3BA25E96-50BB-4295-9757-4655EA7A25F8}"/>
    <cellStyle name="Millares 55 2 11 4 4 3 2 2 3 2 2" xfId="10522" xr:uid="{932E012E-2C39-4009-B7E2-ACF4A9D4FBD4}"/>
    <cellStyle name="Millares 55 2 11 4 4 3 2 2 3 3" xfId="8230" xr:uid="{3E474CDD-F7F0-4BFF-A74D-32CDD1672C85}"/>
    <cellStyle name="Millares 55 2 11 4 4 3 2 2 4" xfId="4945" xr:uid="{671E3A44-4129-4984-83AE-3E332A184347}"/>
    <cellStyle name="Millares 55 2 11 4 4 3 2 2 4 2" xfId="9513" xr:uid="{20C33EB1-5C12-4EEA-9DDA-C88BC9E53C87}"/>
    <cellStyle name="Millares 55 2 11 4 4 3 2 2 5" xfId="7221" xr:uid="{844EEAE1-6580-4A41-A192-D91FAB3D4B46}"/>
    <cellStyle name="Millares 55 2 11 4 4 3 2 3" xfId="3683" xr:uid="{B4EC3051-7108-45AF-A962-F92854FB201B}"/>
    <cellStyle name="Millares 55 2 11 4 4 3 2 3 2" xfId="6086" xr:uid="{58FCB728-07AB-496D-A69A-5D41460F10AD}"/>
    <cellStyle name="Millares 55 2 11 4 4 3 2 3 2 2" xfId="10654" xr:uid="{A897584A-E870-4CE2-89D6-E76CC6A75F12}"/>
    <cellStyle name="Millares 55 2 11 4 4 3 2 3 3" xfId="8362" xr:uid="{30C385B4-9282-4E5A-A078-AE61B7ABC1ED}"/>
    <cellStyle name="Millares 55 2 11 4 4 3 2 4" xfId="3102" xr:uid="{B5DC9930-BD9E-44A1-A190-C210A746E0FA}"/>
    <cellStyle name="Millares 55 2 11 4 4 3 2 4 2" xfId="5526" xr:uid="{71FB09E1-8346-4816-9FB8-0745089FAAE8}"/>
    <cellStyle name="Millares 55 2 11 4 4 3 2 4 2 2" xfId="10094" xr:uid="{26D26D33-60BF-471C-80B0-BFC4CD3D60FF}"/>
    <cellStyle name="Millares 55 2 11 4 4 3 2 4 3" xfId="7802" xr:uid="{67B04727-670B-4F22-8080-ABB1ABDDDE29}"/>
    <cellStyle name="Millares 55 2 11 4 4 3 2 5" xfId="4517" xr:uid="{27D51677-A992-450F-8AB6-DB16E5333F69}"/>
    <cellStyle name="Millares 55 2 11 4 4 3 2 5 2" xfId="9085" xr:uid="{204A0C08-35F4-4CED-9FA4-504AC7B3D585}"/>
    <cellStyle name="Millares 55 2 11 4 4 3 2 6" xfId="6793" xr:uid="{EEB622CF-11AD-4173-B286-E2A5CA27CD6F}"/>
    <cellStyle name="Millares 55 2 11 4 4 3 2 7" xfId="1982" xr:uid="{E84B8DBE-4F2D-4A0D-B912-8F144B97D7EB}"/>
    <cellStyle name="Millares 55 2 11 4 4 3 20" xfId="2551" xr:uid="{B392BDD6-3D62-45AA-8873-CB41D161A380}"/>
    <cellStyle name="Millares 55 2 11 4 4 3 20 2" xfId="3930" xr:uid="{F4D8E380-9645-4A00-BB6F-189A6879EF67}"/>
    <cellStyle name="Millares 55 2 11 4 4 3 20 2 2" xfId="6224" xr:uid="{50E84AB4-E921-4C47-A5DB-8599EEF74900}"/>
    <cellStyle name="Millares 55 2 11 4 4 3 20 2 2 2" xfId="10792" xr:uid="{FBEA5D08-070C-43DC-864B-F1A267BA94D1}"/>
    <cellStyle name="Millares 55 2 11 4 4 3 20 2 3" xfId="8500" xr:uid="{AC9926D9-BB81-4C44-A7BA-7A6DE30F6F07}"/>
    <cellStyle name="Millares 55 2 11 4 4 3 20 3" xfId="3562" xr:uid="{7EF0E112-B609-4226-B7E3-DEAD84E2511E}"/>
    <cellStyle name="Millares 55 2 11 4 4 3 20 3 2" xfId="5986" xr:uid="{3ECEFCCB-2221-49E9-B621-4F634CC39373}"/>
    <cellStyle name="Millares 55 2 11 4 4 3 20 3 2 2" xfId="10554" xr:uid="{4C5AFBA1-A60A-4089-9231-867FB64FD9DD}"/>
    <cellStyle name="Millares 55 2 11 4 4 3 20 3 3" xfId="8262" xr:uid="{08E50BF1-F3DF-4FCD-ACB6-0FF81319039E}"/>
    <cellStyle name="Millares 55 2 11 4 4 3 20 4" xfId="4977" xr:uid="{5E545E3A-3500-403F-91BE-8CD530A1BFAB}"/>
    <cellStyle name="Millares 55 2 11 4 4 3 20 4 2" xfId="9545" xr:uid="{6E55FD92-3375-4590-898A-614B732327EA}"/>
    <cellStyle name="Millares 55 2 11 4 4 3 20 5" xfId="7253" xr:uid="{CA758C65-393B-4BF2-82A4-F45DBD33CB11}"/>
    <cellStyle name="Millares 55 2 11 4 4 3 21" xfId="2553" xr:uid="{CD920C45-DD7F-4010-B0D1-A2F4299697DB}"/>
    <cellStyle name="Millares 55 2 11 4 4 3 21 2" xfId="3932" xr:uid="{6286BF14-314E-4FC3-9D3A-8ADF3DB1DD5B}"/>
    <cellStyle name="Millares 55 2 11 4 4 3 21 2 2" xfId="6226" xr:uid="{EA84EF94-C478-49DC-AF75-E00ED586BC8C}"/>
    <cellStyle name="Millares 55 2 11 4 4 3 21 2 2 2" xfId="10794" xr:uid="{70E4CD95-4326-4432-B13C-5041E1F9CF70}"/>
    <cellStyle name="Millares 55 2 11 4 4 3 21 2 3" xfId="8502" xr:uid="{31014DFD-6522-4360-864B-76356A063F42}"/>
    <cellStyle name="Millares 55 2 11 4 4 3 21 3" xfId="3564" xr:uid="{4D58E2A6-6B5C-48FA-B299-B6500575170D}"/>
    <cellStyle name="Millares 55 2 11 4 4 3 21 3 2" xfId="5988" xr:uid="{BEBC6C51-0F1E-4D5D-B562-0E3342330637}"/>
    <cellStyle name="Millares 55 2 11 4 4 3 21 3 2 2" xfId="10556" xr:uid="{0F9E9F49-0896-4549-ABE4-DAB8E5C232C7}"/>
    <cellStyle name="Millares 55 2 11 4 4 3 21 3 3" xfId="8264" xr:uid="{79C52D4A-589A-430D-9F89-57237103D99A}"/>
    <cellStyle name="Millares 55 2 11 4 4 3 21 4" xfId="4979" xr:uid="{00368301-74E6-4547-8523-0E0EBFADFFF1}"/>
    <cellStyle name="Millares 55 2 11 4 4 3 21 4 2" xfId="9547" xr:uid="{E914DAEF-0CDD-482B-9903-7BBDC2E2BB1E}"/>
    <cellStyle name="Millares 55 2 11 4 4 3 21 5" xfId="7255" xr:uid="{D5DF268B-70C7-4FE8-BAC4-9F788DEB457B}"/>
    <cellStyle name="Millares 55 2 11 4 4 3 22" xfId="2555" xr:uid="{32E1B928-E9EE-4F97-9FB8-7EEF1F2CCB98}"/>
    <cellStyle name="Millares 55 2 11 4 4 3 22 2" xfId="3934" xr:uid="{7FA9B9FB-50A1-434E-BC2A-206D4979D3E2}"/>
    <cellStyle name="Millares 55 2 11 4 4 3 22 2 2" xfId="6228" xr:uid="{E7DACC5C-822B-4D7A-8682-03DA8596BD11}"/>
    <cellStyle name="Millares 55 2 11 4 4 3 22 2 2 2" xfId="10796" xr:uid="{B507F97E-2282-4FCE-A54D-C7F71420656C}"/>
    <cellStyle name="Millares 55 2 11 4 4 3 22 2 3" xfId="8504" xr:uid="{CC28B5F1-EC63-4E3F-BF6F-A420E069D00B}"/>
    <cellStyle name="Millares 55 2 11 4 4 3 22 3" xfId="3566" xr:uid="{52A5E665-BEB4-4331-AF2F-86AC88BD9390}"/>
    <cellStyle name="Millares 55 2 11 4 4 3 22 3 2" xfId="5990" xr:uid="{267B6F67-8C10-4275-A6F5-80E612A45107}"/>
    <cellStyle name="Millares 55 2 11 4 4 3 22 3 2 2" xfId="10558" xr:uid="{19B4FF1B-CC7F-4F1B-B974-3C7475F05541}"/>
    <cellStyle name="Millares 55 2 11 4 4 3 22 3 3" xfId="8266" xr:uid="{03304A32-1E40-4E37-9637-C6AF557DCB6D}"/>
    <cellStyle name="Millares 55 2 11 4 4 3 22 4" xfId="4981" xr:uid="{D558566F-70A9-453C-9F6E-617C7AAE0DFF}"/>
    <cellStyle name="Millares 55 2 11 4 4 3 22 4 2" xfId="9549" xr:uid="{8560C729-327A-4FA8-A13D-5ECC8B9B44D6}"/>
    <cellStyle name="Millares 55 2 11 4 4 3 22 5" xfId="7257" xr:uid="{D670BF4D-661E-4B6E-802C-F50E822F978D}"/>
    <cellStyle name="Millares 55 2 11 4 4 3 23" xfId="2557" xr:uid="{7A105302-04F3-4E51-8C35-8B5CA6133BE9}"/>
    <cellStyle name="Millares 55 2 11 4 4 3 23 2" xfId="3936" xr:uid="{381A4F58-45F0-44EE-BA05-1AE10E865E56}"/>
    <cellStyle name="Millares 55 2 11 4 4 3 23 2 2" xfId="6230" xr:uid="{16A4D03A-E59B-4359-9F5F-A81FD3D1A7CC}"/>
    <cellStyle name="Millares 55 2 11 4 4 3 23 2 2 2" xfId="10798" xr:uid="{6001FEB0-8EAC-4EF2-803D-F571D2A32774}"/>
    <cellStyle name="Millares 55 2 11 4 4 3 23 2 3" xfId="8506" xr:uid="{B0F5C937-C2FF-481E-912D-512DD72D3E72}"/>
    <cellStyle name="Millares 55 2 11 4 4 3 23 3" xfId="3568" xr:uid="{5476B9B4-9BA7-4093-8BF8-4EB9A3BCCCAA}"/>
    <cellStyle name="Millares 55 2 11 4 4 3 23 3 2" xfId="5992" xr:uid="{7A8AE0E4-C0AE-48B3-B5E5-87D1F6DBC80B}"/>
    <cellStyle name="Millares 55 2 11 4 4 3 23 3 2 2" xfId="10560" xr:uid="{542771E2-D294-4DB8-AB67-E9EEF3B4B599}"/>
    <cellStyle name="Millares 55 2 11 4 4 3 23 3 3" xfId="8268" xr:uid="{1FE8900D-DAD2-4E29-9AAF-7006EF3D9AD2}"/>
    <cellStyle name="Millares 55 2 11 4 4 3 23 4" xfId="4983" xr:uid="{1FCD2A3D-E3F8-4C19-8B5A-BA28495E4790}"/>
    <cellStyle name="Millares 55 2 11 4 4 3 23 4 2" xfId="9551" xr:uid="{32E89AAB-EF07-47C3-B048-8B60A206BEE9}"/>
    <cellStyle name="Millares 55 2 11 4 4 3 23 5" xfId="7259" xr:uid="{617D99DC-2872-4A61-8E82-774AD0CCF896}"/>
    <cellStyle name="Millares 55 2 11 4 4 3 24" xfId="2559" xr:uid="{5D89BA4D-ABD5-4D39-BB30-78DD1AAB63FE}"/>
    <cellStyle name="Millares 55 2 11 4 4 3 24 2" xfId="3938" xr:uid="{ED83CF81-218F-43F9-8A53-D0070A594355}"/>
    <cellStyle name="Millares 55 2 11 4 4 3 24 2 2" xfId="6232" xr:uid="{87B6CCFB-EE61-4847-934F-6A327A4FAEE3}"/>
    <cellStyle name="Millares 55 2 11 4 4 3 24 2 2 2" xfId="10800" xr:uid="{7C0221B7-3875-462C-BF68-F63C5E32DF4A}"/>
    <cellStyle name="Millares 55 2 11 4 4 3 24 2 3" xfId="8508" xr:uid="{D905D438-8F4A-4291-B1D7-3E1686B75512}"/>
    <cellStyle name="Millares 55 2 11 4 4 3 24 3" xfId="3570" xr:uid="{7A58055B-D64A-4F9B-95B2-3C0ACD713290}"/>
    <cellStyle name="Millares 55 2 11 4 4 3 24 3 2" xfId="5994" xr:uid="{FF449C39-A0A0-47E4-A9A7-1A235B35D834}"/>
    <cellStyle name="Millares 55 2 11 4 4 3 24 3 2 2" xfId="10562" xr:uid="{F88B45C7-14E1-448B-8C6D-69657C68F62E}"/>
    <cellStyle name="Millares 55 2 11 4 4 3 24 3 3" xfId="8270" xr:uid="{8F539591-807B-496A-A793-07162E71802A}"/>
    <cellStyle name="Millares 55 2 11 4 4 3 24 4" xfId="4985" xr:uid="{33DB3432-F765-480F-8B39-9C2153544B31}"/>
    <cellStyle name="Millares 55 2 11 4 4 3 24 4 2" xfId="9553" xr:uid="{D68E68AB-12FF-4637-9733-2C7285204828}"/>
    <cellStyle name="Millares 55 2 11 4 4 3 24 5" xfId="7261" xr:uid="{CBABAEA0-BE97-4B4F-A8CA-B9937208043A}"/>
    <cellStyle name="Millares 55 2 11 4 4 3 25" xfId="1160" xr:uid="{00000000-0005-0000-0000-000091020000}"/>
    <cellStyle name="Millares 55 2 11 4 4 3 25 10" xfId="2578" xr:uid="{68EAEAF0-301D-4D25-B45E-4D163F20A90B}"/>
    <cellStyle name="Millares 55 2 11 4 4 3 25 10 2" xfId="5004" xr:uid="{D1098809-F716-4CD1-B2CA-7A90E8088C23}"/>
    <cellStyle name="Millares 55 2 11 4 4 3 25 10 2 2" xfId="9572" xr:uid="{48D6F26D-CA14-4159-B55A-64977680CCE4}"/>
    <cellStyle name="Millares 55 2 11 4 4 3 25 10 3" xfId="7280" xr:uid="{DC0692E7-1BC7-43DF-AEB4-B498CF3D80FC}"/>
    <cellStyle name="Millares 55 2 11 4 4 3 25 11" xfId="1190" xr:uid="{00000000-0005-0000-0000-000092020000}"/>
    <cellStyle name="Millares 55 2 11 4 4 3 25 11 2" xfId="5006" xr:uid="{D0A56810-5EEC-49D6-AFEB-8FC96006BF23}"/>
    <cellStyle name="Millares 55 2 11 4 4 3 25 11 2 2" xfId="9574" xr:uid="{75A4D553-2695-4D32-BAE4-CA8FF80F671F}"/>
    <cellStyle name="Millares 55 2 11 4 4 3 25 11 3" xfId="7282" xr:uid="{551838DC-1AA9-4FD5-8C65-8D4756350E90}"/>
    <cellStyle name="Millares 55 2 11 4 4 3 25 11 4" xfId="2580" xr:uid="{2A7F57BE-91BF-4900-8191-108B023B1449}"/>
    <cellStyle name="Millares 55 2 11 4 4 3 25 12" xfId="2583" xr:uid="{60A615EC-6FF3-4F47-B3C0-0BCBEDB61089}"/>
    <cellStyle name="Millares 55 2 11 4 4 3 25 12 2" xfId="5009" xr:uid="{62902D7D-FE11-4BCB-8972-E5BB76D818EE}"/>
    <cellStyle name="Millares 55 2 11 4 4 3 25 12 2 2" xfId="9577" xr:uid="{794436FB-605D-40D1-B4C8-0A89BC86A186}"/>
    <cellStyle name="Millares 55 2 11 4 4 3 25 12 3" xfId="7285" xr:uid="{2EE01593-D3B5-4137-9E98-34EC0FB0E8B4}"/>
    <cellStyle name="Millares 55 2 11 4 4 3 25 13" xfId="2585" xr:uid="{F29FF6A4-6D46-445D-8FBB-09D30D67988E}"/>
    <cellStyle name="Millares 55 2 11 4 4 3 25 13 2" xfId="5011" xr:uid="{F9317260-EB93-4869-9D16-C4000DF9EECD}"/>
    <cellStyle name="Millares 55 2 11 4 4 3 25 13 2 2" xfId="9579" xr:uid="{9D37EF3F-7D3C-4429-8174-0F02487AC19C}"/>
    <cellStyle name="Millares 55 2 11 4 4 3 25 13 3" xfId="7287" xr:uid="{B2BB8ABF-AC2E-4680-91F0-57EE7350C8FB}"/>
    <cellStyle name="Millares 55 2 11 4 4 3 25 14" xfId="2587" xr:uid="{396709B8-46AE-4339-8A77-8DAD7DB5F543}"/>
    <cellStyle name="Millares 55 2 11 4 4 3 25 14 2" xfId="5013" xr:uid="{12191AAB-A7CD-43F9-8C4A-9D2668082EAD}"/>
    <cellStyle name="Millares 55 2 11 4 4 3 25 14 2 2" xfId="9581" xr:uid="{96ADBBD8-ADCF-41E1-83FE-8ABCB113CFCF}"/>
    <cellStyle name="Millares 55 2 11 4 4 3 25 14 3" xfId="7289" xr:uid="{729CE4C6-CFC9-4466-B60F-408B0D96020F}"/>
    <cellStyle name="Millares 55 2 11 4 4 3 25 15" xfId="2589" xr:uid="{B999523F-75B7-44D6-9E81-DC87E79B2345}"/>
    <cellStyle name="Millares 55 2 11 4 4 3 25 15 2" xfId="5015" xr:uid="{02AD7314-15B7-47B2-9163-13AD2E0FD646}"/>
    <cellStyle name="Millares 55 2 11 4 4 3 25 15 2 2" xfId="9583" xr:uid="{0381F97B-2E81-4524-8E1A-8B6D51C77BDB}"/>
    <cellStyle name="Millares 55 2 11 4 4 3 25 15 3" xfId="7291" xr:uid="{F9B27B38-7D90-40FF-9128-08B877ABC204}"/>
    <cellStyle name="Millares 55 2 11 4 4 3 25 16" xfId="2591" xr:uid="{0717CF2D-D163-45D8-B48B-ECA8888608CE}"/>
    <cellStyle name="Millares 55 2 11 4 4 3 25 16 2" xfId="5017" xr:uid="{04E41043-C8E7-44DD-99FA-6E819F3149A9}"/>
    <cellStyle name="Millares 55 2 11 4 4 3 25 16 2 2" xfId="9585" xr:uid="{B4A512EE-9614-4792-8D9E-A6F8E1718A22}"/>
    <cellStyle name="Millares 55 2 11 4 4 3 25 16 3" xfId="7293" xr:uid="{D30EECF2-847D-4D10-AE05-EB9E3B99BE90}"/>
    <cellStyle name="Millares 55 2 11 4 4 3 25 17" xfId="2653" xr:uid="{0417868F-C1CD-43F0-AAE5-C702DDA8989B}"/>
    <cellStyle name="Millares 55 2 11 4 4 3 25 17 2" xfId="5079" xr:uid="{96C6ABD4-3084-4DD5-B7A2-FF8A6B772EC7}"/>
    <cellStyle name="Millares 55 2 11 4 4 3 25 17 2 2" xfId="9647" xr:uid="{923E5CBB-456C-4B04-866A-823D4986FAF4}"/>
    <cellStyle name="Millares 55 2 11 4 4 3 25 17 3" xfId="7355" xr:uid="{A981E9DD-7E74-4A54-AB0B-6E4F3DDC7720}"/>
    <cellStyle name="Millares 55 2 11 4 4 3 25 18" xfId="2657" xr:uid="{42BED805-B677-4D86-A5A7-64981FC8E5A8}"/>
    <cellStyle name="Millares 55 2 11 4 4 3 25 18 2" xfId="5083" xr:uid="{EE7CD5E7-418F-4C83-9B23-B291C23D43BB}"/>
    <cellStyle name="Millares 55 2 11 4 4 3 25 18 2 2" xfId="9651" xr:uid="{ED1F60EF-A3DC-4869-8252-4760CCDFB606}"/>
    <cellStyle name="Millares 55 2 11 4 4 3 25 18 3" xfId="7359" xr:uid="{067E658D-5A99-4DD9-A02C-C63F27EAB086}"/>
    <cellStyle name="Millares 55 2 11 4 4 3 25 19" xfId="1230" xr:uid="{00000000-0005-0000-0000-000093020000}"/>
    <cellStyle name="Millares 55 2 11 4 4 3 25 19 10" xfId="1263" xr:uid="{0B043D30-CE88-4D9D-B3D4-2FC6234D7CE7}"/>
    <cellStyle name="Millares 55 2 11 4 4 3 25 19 10 2" xfId="6299" xr:uid="{77F84CF2-CC20-4466-BDA9-4573BF095D25}"/>
    <cellStyle name="Millares 55 2 11 4 4 3 25 19 10 2 2" xfId="10867" xr:uid="{B34FC74E-2B59-4DCC-A980-E55855696717}"/>
    <cellStyle name="Millares 55 2 11 4 4 3 25 19 10 3" xfId="8575" xr:uid="{0B7D0D2F-3175-4C7C-B145-73C9B2975CEF}"/>
    <cellStyle name="Millares 55 2 11 4 4 3 25 19 10 4" xfId="4005" xr:uid="{2D1649EC-6C60-4D66-AB47-334F310D388F}"/>
    <cellStyle name="Millares 55 2 11 4 4 3 25 19 11" xfId="5087" xr:uid="{28814234-E51B-4892-BF53-AF25C6A261BD}"/>
    <cellStyle name="Millares 55 2 11 4 4 3 25 19 11 2" xfId="9655" xr:uid="{B574A76C-C6FB-499E-AA7F-9F26DB804A6C}"/>
    <cellStyle name="Millares 55 2 11 4 4 3 25 19 12" xfId="6306" xr:uid="{BCF5D5B3-6DA6-4FE7-BFB9-8A19E2AA50B5}"/>
    <cellStyle name="Millares 55 2 11 4 4 3 25 19 12 2" xfId="10874" xr:uid="{A154E3D2-E382-4347-A602-6CDF99848DDD}"/>
    <cellStyle name="Millares 55 2 11 4 4 3 25 19 13" xfId="6311" xr:uid="{346F9BD9-C9E1-41AB-8DB7-AD8DCB13EECD}"/>
    <cellStyle name="Millares 55 2 11 4 4 3 25 19 13 2" xfId="10879" xr:uid="{2F757314-DD38-4D3A-B4FC-48AB6B92B055}"/>
    <cellStyle name="Millares 55 2 11 4 4 3 25 19 14" xfId="6318" xr:uid="{3C772C78-9B00-46AF-A7D6-EF9CE9B16C1B}"/>
    <cellStyle name="Millares 55 2 11 4 4 3 25 19 14 2" xfId="10886" xr:uid="{9A02F573-AFC5-4091-8FEE-ED11D3CC3997}"/>
    <cellStyle name="Millares 55 2 11 4 4 3 25 19 15" xfId="1293" xr:uid="{5B3E29BD-860D-4155-81E5-4481A479FA0B}"/>
    <cellStyle name="Millares 55 2 11 4 4 3 25 19 15 2" xfId="10894" xr:uid="{12C6A5B2-5AA6-44CA-B4D5-1062847CCA53}"/>
    <cellStyle name="Millares 55 2 11 4 4 3 25 19 15 3" xfId="6327" xr:uid="{813AF546-6E0B-4F5A-AE38-1577D606A0DC}"/>
    <cellStyle name="Millares 55 2 11 4 4 3 25 19 16" xfId="6332" xr:uid="{F4A2E6AE-CE69-4FA6-8D0E-BF05BD40B69E}"/>
    <cellStyle name="Millares 55 2 11 4 4 3 25 19 16 2" xfId="10899" xr:uid="{A1DF3E74-979C-4AF3-9D8B-CD76658DBFE9}"/>
    <cellStyle name="Millares 55 2 11 4 4 3 25 19 17" xfId="6337" xr:uid="{B3C77BDC-ADD2-401D-8AD1-20F1A64259E6}"/>
    <cellStyle name="Millares 55 2 11 4 4 3 25 19 17 2" xfId="10904" xr:uid="{175054F3-B25A-4A68-A72A-0D4866BBBCE7}"/>
    <cellStyle name="Millares 55 2 11 4 4 3 25 19 18" xfId="6346" xr:uid="{B0F59D7A-C976-4CCE-822D-C78577D872BE}"/>
    <cellStyle name="Millares 55 2 11 4 4 3 25 19 18 2" xfId="10913" xr:uid="{ED00C9E7-3A6A-4798-B39D-65B017F120BE}"/>
    <cellStyle name="Millares 55 2 11 4 4 3 25 19 19" xfId="6351" xr:uid="{F8483D80-C6CF-41FE-8488-5BB113AF9369}"/>
    <cellStyle name="Millares 55 2 11 4 4 3 25 19 19 2" xfId="10918" xr:uid="{B88E5416-7944-4D81-8080-1ED852F8E47F}"/>
    <cellStyle name="Millares 55 2 11 4 4 3 25 19 2" xfId="1302" xr:uid="{E2B64BF8-1406-485B-A80E-6ECB95C69151}"/>
    <cellStyle name="Millares 55 2 11 4 4 3 25 19 2 2" xfId="6255" xr:uid="{2DD88A61-0A7C-41A0-BAF4-4FCAD6307CEC}"/>
    <cellStyle name="Millares 55 2 11 4 4 3 25 19 2 2 2" xfId="10823" xr:uid="{60345548-30D0-4EBE-9152-E979BE0A9921}"/>
    <cellStyle name="Millares 55 2 11 4 4 3 25 19 2 3" xfId="8531" xr:uid="{08D12552-ADD3-41BF-B34C-B81462F7DC48}"/>
    <cellStyle name="Millares 55 2 11 4 4 3 25 19 2 4" xfId="3961" xr:uid="{6F1A5582-E85F-4F4B-B0CD-7038A004A7A4}"/>
    <cellStyle name="Millares 55 2 11 4 4 3 25 19 20" xfId="1321" xr:uid="{CCECF18D-9A86-4A72-A2DC-0849A2C4EA49}"/>
    <cellStyle name="Millares 55 2 11 4 4 3 25 19 20 2" xfId="10925" xr:uid="{ED3CE950-7D31-43EE-9AF1-8A2A089E27A0}"/>
    <cellStyle name="Millares 55 2 11 4 4 3 25 19 20 3" xfId="6358" xr:uid="{681060DB-C95F-46EB-A6BD-4F24255368AF}"/>
    <cellStyle name="Millares 55 2 11 4 4 3 25 19 21" xfId="6363" xr:uid="{9F18A229-2560-4334-B6EC-3C9358D1FAEB}"/>
    <cellStyle name="Millares 55 2 11 4 4 3 25 19 21 2" xfId="10930" xr:uid="{4DDAED30-C1D6-425E-9AF8-28F10D62388D}"/>
    <cellStyle name="Millares 55 2 11 4 4 3 25 19 22" xfId="6371" xr:uid="{A28EDEB2-E7C6-4AAC-A20E-064EA0043E3D}"/>
    <cellStyle name="Millares 55 2 11 4 4 3 25 19 22 2" xfId="10938" xr:uid="{854823BF-F131-4763-B692-6B8D59B72014}"/>
    <cellStyle name="Millares 55 2 11 4 4 3 25 19 23" xfId="7363" xr:uid="{913CA2ED-D5A5-40B6-9870-9F95743DB669}"/>
    <cellStyle name="Millares 55 2 11 4 4 3 25 19 24" xfId="2661" xr:uid="{D9946831-129B-46A8-9F82-17F439AE452D}"/>
    <cellStyle name="Millares 55 2 11 4 4 3 25 19 3" xfId="3968" xr:uid="{27C2E1A1-81FD-479C-96DF-FFD1CDA50906}"/>
    <cellStyle name="Millares 55 2 11 4 4 3 25 19 3 2" xfId="6262" xr:uid="{83D0B0C2-4C1D-41D5-8546-29A5D018EF49}"/>
    <cellStyle name="Millares 55 2 11 4 4 3 25 19 3 2 2" xfId="10830" xr:uid="{168F56AD-7902-43DB-B937-A2735D2F5167}"/>
    <cellStyle name="Millares 55 2 11 4 4 3 25 19 3 3" xfId="8538" xr:uid="{894F6039-CC3F-47AE-9580-1123A6FDE7E7}"/>
    <cellStyle name="Millares 55 2 11 4 4 3 25 19 4" xfId="1245" xr:uid="{00000000-0005-0000-0000-000094020000}"/>
    <cellStyle name="Millares 55 2 11 4 4 3 25 19 4 2" xfId="6267" xr:uid="{62001CB7-7467-4AD0-AF8A-919D91752444}"/>
    <cellStyle name="Millares 55 2 11 4 4 3 25 19 4 2 2" xfId="10835" xr:uid="{5872F5F4-CB60-4A69-A94C-DF04D0BEE5B9}"/>
    <cellStyle name="Millares 55 2 11 4 4 3 25 19 4 3" xfId="8543" xr:uid="{AE136C2F-6AF5-4213-BA35-9BEA973A44A6}"/>
    <cellStyle name="Millares 55 2 11 4 4 3 25 19 4 4" xfId="3973" xr:uid="{5C2A5647-7597-4C26-B84B-51C769643D70}"/>
    <cellStyle name="Millares 55 2 11 4 4 3 25 19 5" xfId="3978" xr:uid="{096D94CA-9C62-4D93-A7E0-5C2023A7A12B}"/>
    <cellStyle name="Millares 55 2 11 4 4 3 25 19 5 2" xfId="6272" xr:uid="{909E9366-EEB1-4832-82E2-3690D56782A3}"/>
    <cellStyle name="Millares 55 2 11 4 4 3 25 19 5 2 2" xfId="10840" xr:uid="{1672AE3E-8881-49B9-AE73-54E6A5BA01F6}"/>
    <cellStyle name="Millares 55 2 11 4 4 3 25 19 5 3" xfId="8548" xr:uid="{DCF52160-B3E8-400D-86B9-462884493511}"/>
    <cellStyle name="Millares 55 2 11 4 4 3 25 19 6" xfId="3983" xr:uid="{5C533DA4-A1D5-48AB-BFF6-4B720C62ADF9}"/>
    <cellStyle name="Millares 55 2 11 4 4 3 25 19 6 2" xfId="6277" xr:uid="{03E5E32E-41F5-492C-89A2-ABA16DE6DC85}"/>
    <cellStyle name="Millares 55 2 11 4 4 3 25 19 6 2 2" xfId="10845" xr:uid="{8F751AFA-C025-4542-B613-F0F947EFFCF2}"/>
    <cellStyle name="Millares 55 2 11 4 4 3 25 19 6 3" xfId="8553" xr:uid="{8B9C3E12-D6A0-49B0-8626-FAC7ED164180}"/>
    <cellStyle name="Millares 55 2 11 4 4 3 25 19 7" xfId="3988" xr:uid="{7F75E730-3034-4C0B-864F-69742F73A406}"/>
    <cellStyle name="Millares 55 2 11 4 4 3 25 19 7 2" xfId="6282" xr:uid="{A394206E-CC13-460C-95EE-561B43CBD81D}"/>
    <cellStyle name="Millares 55 2 11 4 4 3 25 19 7 2 2" xfId="10850" xr:uid="{FB211EEB-43C3-4355-A10B-E79DF81D4309}"/>
    <cellStyle name="Millares 55 2 11 4 4 3 25 19 7 3" xfId="8558" xr:uid="{AE91FE59-9CA9-44E0-B115-BBAED8D34EC5}"/>
    <cellStyle name="Millares 55 2 11 4 4 3 25 19 8" xfId="3993" xr:uid="{D32F61B2-BF9F-45C1-A008-A2B62A33F8DC}"/>
    <cellStyle name="Millares 55 2 11 4 4 3 25 19 8 2" xfId="6287" xr:uid="{05623B2F-1062-4DF6-A910-AB0EC9DD78E3}"/>
    <cellStyle name="Millares 55 2 11 4 4 3 25 19 8 2 2" xfId="10855" xr:uid="{3A78F805-4D74-481A-9C7F-D7436BF04AF0}"/>
    <cellStyle name="Millares 55 2 11 4 4 3 25 19 8 3" xfId="8563" xr:uid="{888EBD61-46BD-4DA5-A099-F7B227AC2E40}"/>
    <cellStyle name="Millares 55 2 11 4 4 3 25 19 9" xfId="4000" xr:uid="{A071A001-313D-4B98-BB45-B9F8E623BBD8}"/>
    <cellStyle name="Millares 55 2 11 4 4 3 25 19 9 2" xfId="6294" xr:uid="{26F06079-8C20-42F4-8134-C53DF6778714}"/>
    <cellStyle name="Millares 55 2 11 4 4 3 25 19 9 2 2" xfId="10862" xr:uid="{6A1C2F8F-1779-4DAE-8689-878867FDBA82}"/>
    <cellStyle name="Millares 55 2 11 4 4 3 25 19 9 3" xfId="8570" xr:uid="{ECD32A2B-5D9F-49E2-9D9C-8D70223C6950}"/>
    <cellStyle name="Millares 55 2 11 4 4 3 25 2" xfId="1211" xr:uid="{00000000-0005-0000-0000-000095020000}"/>
    <cellStyle name="Millares 55 2 11 4 4 3 25 2 2" xfId="3941" xr:uid="{96931823-EE94-4663-B9B2-E0448E206AAB}"/>
    <cellStyle name="Millares 55 2 11 4 4 3 25 2 2 2" xfId="6235" xr:uid="{47DD1D84-83ED-43DB-A5EE-05D451A26CFD}"/>
    <cellStyle name="Millares 55 2 11 4 4 3 25 2 2 2 2" xfId="10803" xr:uid="{69CBB08D-E42F-4ED1-A3F4-761E41D152D8}"/>
    <cellStyle name="Millares 55 2 11 4 4 3 25 2 2 3" xfId="8511" xr:uid="{140B6D36-365C-4FB2-B335-1E8C1FFAAF6B}"/>
    <cellStyle name="Millares 55 2 11 4 4 3 25 2 3" xfId="3573" xr:uid="{0A5141BB-2228-4B8A-91A9-5309C1D0F4DB}"/>
    <cellStyle name="Millares 55 2 11 4 4 3 25 2 3 2" xfId="5997" xr:uid="{A27DD88F-F76A-429B-A096-7DF3FE0E1079}"/>
    <cellStyle name="Millares 55 2 11 4 4 3 25 2 3 2 2" xfId="10565" xr:uid="{69CE563E-E021-4D45-924B-5080ABECE78C}"/>
    <cellStyle name="Millares 55 2 11 4 4 3 25 2 3 3" xfId="8273" xr:uid="{95603645-DDE4-4D70-9A4B-C16C38D9528A}"/>
    <cellStyle name="Millares 55 2 11 4 4 3 25 2 4" xfId="4988" xr:uid="{AC8094C7-D866-4561-8197-8B926F470105}"/>
    <cellStyle name="Millares 55 2 11 4 4 3 25 2 4 2" xfId="9556" xr:uid="{4300440A-462A-4190-B456-95698CB1530B}"/>
    <cellStyle name="Millares 55 2 11 4 4 3 25 2 5" xfId="7264" xr:uid="{1EBFD8AE-D426-4DC3-9C7A-CC9ACE3534AB}"/>
    <cellStyle name="Millares 55 2 11 4 4 3 25 2 6" xfId="2562" xr:uid="{96E95BB4-9D4C-4E83-8571-27B87FD0B33E}"/>
    <cellStyle name="Millares 55 2 11 4 4 3 25 20" xfId="2671" xr:uid="{F5249145-C050-4EFE-9A61-86DDC34BAAC5}"/>
    <cellStyle name="Millares 55 2 11 4 4 3 25 20 2" xfId="5097" xr:uid="{8D98908B-1A29-4BA8-9C4F-C9D7A79C56F2}"/>
    <cellStyle name="Millares 55 2 11 4 4 3 25 20 2 2" xfId="9665" xr:uid="{0F881D59-A3C6-4352-BC0C-ABB04207D435}"/>
    <cellStyle name="Millares 55 2 11 4 4 3 25 20 3" xfId="7373" xr:uid="{22103DBC-9066-4DA1-8239-D832F2683FEF}"/>
    <cellStyle name="Millares 55 2 11 4 4 3 25 21" xfId="3958" xr:uid="{4A4CEDBC-21F7-4CC6-9661-B0F55FAECC3F}"/>
    <cellStyle name="Millares 55 2 11 4 4 3 25 21 2" xfId="6252" xr:uid="{9CC84E48-BAB2-4B6A-BADE-F31BB56178E2}"/>
    <cellStyle name="Millares 55 2 11 4 4 3 25 21 2 2" xfId="10820" xr:uid="{2604574D-88A4-489C-A8A5-BA11CE976DC5}"/>
    <cellStyle name="Millares 55 2 11 4 4 3 25 21 3" xfId="8528" xr:uid="{9253E92B-D90E-4445-A227-452000F18444}"/>
    <cellStyle name="Millares 55 2 11 4 4 3 25 22" xfId="3966" xr:uid="{15096B4C-7780-48D1-B75A-2371523CCC29}"/>
    <cellStyle name="Millares 55 2 11 4 4 3 25 22 2" xfId="6260" xr:uid="{00CCAA43-9A52-4EF8-8DAB-B463B6199E83}"/>
    <cellStyle name="Millares 55 2 11 4 4 3 25 22 2 2" xfId="10828" xr:uid="{C4172F86-E948-4BDA-90BC-C50C38A57A87}"/>
    <cellStyle name="Millares 55 2 11 4 4 3 25 22 3" xfId="8536" xr:uid="{C19B95AB-25A7-4568-8C98-FC9E73B55651}"/>
    <cellStyle name="Millares 55 2 11 4 4 3 25 23" xfId="1241" xr:uid="{00000000-0005-0000-0000-000096020000}"/>
    <cellStyle name="Millares 55 2 11 4 4 3 25 23 2" xfId="6265" xr:uid="{A791E0C8-F3B0-477E-B881-EC37061AF5FB}"/>
    <cellStyle name="Millares 55 2 11 4 4 3 25 23 2 2" xfId="10833" xr:uid="{99C62573-3E3D-4F99-B8DC-2CC68EC57BAC}"/>
    <cellStyle name="Millares 55 2 11 4 4 3 25 23 3" xfId="8541" xr:uid="{BEAD7053-F35C-484A-A615-6D4973EE59A2}"/>
    <cellStyle name="Millares 55 2 11 4 4 3 25 23 4" xfId="3971" xr:uid="{168B5E92-893A-4CDB-8B46-7AF67DF08ED9}"/>
    <cellStyle name="Millares 55 2 11 4 4 3 25 24" xfId="3976" xr:uid="{AAE9F787-12EE-4BD2-8416-F435CB80DFA5}"/>
    <cellStyle name="Millares 55 2 11 4 4 3 25 24 2" xfId="6270" xr:uid="{3ACE6231-F8AF-42BC-84D6-0490EFFE1DCB}"/>
    <cellStyle name="Millares 55 2 11 4 4 3 25 24 2 2" xfId="10838" xr:uid="{48EA48E3-D8F7-4A2B-9845-5A9723B42403}"/>
    <cellStyle name="Millares 55 2 11 4 4 3 25 24 3" xfId="8546" xr:uid="{050E303A-EC54-4765-B752-2216DEDEE145}"/>
    <cellStyle name="Millares 55 2 11 4 4 3 25 25" xfId="3981" xr:uid="{D7D8906C-87AD-4090-9A72-0F71F6C44CB3}"/>
    <cellStyle name="Millares 55 2 11 4 4 3 25 25 2" xfId="6275" xr:uid="{5258C7A8-6D00-4BFC-B22A-CC3A61E10499}"/>
    <cellStyle name="Millares 55 2 11 4 4 3 25 25 2 2" xfId="10843" xr:uid="{ED98C40A-AC90-4B48-A30A-92DE2B9C06D9}"/>
    <cellStyle name="Millares 55 2 11 4 4 3 25 25 3" xfId="8551" xr:uid="{66903523-5965-449B-8DEC-CE72ACED93FD}"/>
    <cellStyle name="Millares 55 2 11 4 4 3 25 26" xfId="3986" xr:uid="{0DAD0E0A-51C9-42EC-8864-4E07FF322853}"/>
    <cellStyle name="Millares 55 2 11 4 4 3 25 26 2" xfId="6280" xr:uid="{644CA9A1-E354-4C3F-86FA-2AB97A802909}"/>
    <cellStyle name="Millares 55 2 11 4 4 3 25 26 2 2" xfId="10848" xr:uid="{6F309359-1396-4733-81AD-836B34B50C20}"/>
    <cellStyle name="Millares 55 2 11 4 4 3 25 26 3" xfId="8556" xr:uid="{06ED7F2F-F0D8-4C6D-871B-7E9E86231F00}"/>
    <cellStyle name="Millares 55 2 11 4 4 3 25 27" xfId="3991" xr:uid="{2601475F-018D-4538-A39A-2C9B57BE2D66}"/>
    <cellStyle name="Millares 55 2 11 4 4 3 25 27 2" xfId="6285" xr:uid="{044A350E-1391-4767-AF8A-F14AA3E5AD3E}"/>
    <cellStyle name="Millares 55 2 11 4 4 3 25 27 2 2" xfId="10853" xr:uid="{63EB01A7-C28A-4E0D-84F0-F78343F7C519}"/>
    <cellStyle name="Millares 55 2 11 4 4 3 25 27 3" xfId="8561" xr:uid="{685731B9-5258-4497-A1A4-0430552696A8}"/>
    <cellStyle name="Millares 55 2 11 4 4 3 25 28" xfId="3998" xr:uid="{6E02B8F3-6A62-45CA-925F-89B5880E85E6}"/>
    <cellStyle name="Millares 55 2 11 4 4 3 25 28 2" xfId="6292" xr:uid="{B8B6F97D-9315-4CE6-9E68-DA6EDA0ADD75}"/>
    <cellStyle name="Millares 55 2 11 4 4 3 25 28 2 2" xfId="10860" xr:uid="{3BF2EEBC-D417-404E-BD0D-C1EC055EA404}"/>
    <cellStyle name="Millares 55 2 11 4 4 3 25 28 3" xfId="8568" xr:uid="{77EE3BC4-0DB7-46F3-93AB-875BD5FAC879}"/>
    <cellStyle name="Millares 55 2 11 4 4 3 25 29" xfId="1261" xr:uid="{85587172-945C-4B9B-9696-D768C2F57997}"/>
    <cellStyle name="Millares 55 2 11 4 4 3 25 29 2" xfId="6297" xr:uid="{653826AA-C153-4369-874F-079488A811CE}"/>
    <cellStyle name="Millares 55 2 11 4 4 3 25 29 2 2" xfId="10865" xr:uid="{07B468E9-F736-4BF8-914D-281851E4568B}"/>
    <cellStyle name="Millares 55 2 11 4 4 3 25 29 3" xfId="8573" xr:uid="{20BE0C72-824C-454E-836C-722BC451F25F}"/>
    <cellStyle name="Millares 55 2 11 4 4 3 25 29 4" xfId="4003" xr:uid="{09B96622-3DE3-47F6-A51C-CF3EFE260D7E}"/>
    <cellStyle name="Millares 55 2 11 4 4 3 25 3" xfId="1252" xr:uid="{00000000-0005-0000-0000-000097020000}"/>
    <cellStyle name="Millares 55 2 11 4 4 3 25 3 2" xfId="3943" xr:uid="{8D111D17-213F-4E87-86DF-FBB08CA81593}"/>
    <cellStyle name="Millares 55 2 11 4 4 3 25 3 2 2" xfId="6237" xr:uid="{7895C2AC-4386-48D6-A4EF-816AF44041DD}"/>
    <cellStyle name="Millares 55 2 11 4 4 3 25 3 2 2 2" xfId="10805" xr:uid="{EBD1119C-3C88-4ADA-88CC-C35E62695678}"/>
    <cellStyle name="Millares 55 2 11 4 4 3 25 3 2 3" xfId="8513" xr:uid="{68B3F1F8-1C1E-4CEA-B4A1-1E25486FB1D1}"/>
    <cellStyle name="Millares 55 2 11 4 4 3 25 3 3" xfId="3572" xr:uid="{CB94FE32-C8C3-4709-8349-07DE7B1810E8}"/>
    <cellStyle name="Millares 55 2 11 4 4 3 25 3 3 2" xfId="5996" xr:uid="{54360342-74C3-42AA-98AD-786C93C2A11F}"/>
    <cellStyle name="Millares 55 2 11 4 4 3 25 3 3 2 2" xfId="10564" xr:uid="{16119799-527F-4B87-8D6A-6E41E0E95AFE}"/>
    <cellStyle name="Millares 55 2 11 4 4 3 25 3 3 3" xfId="8272" xr:uid="{5078F85D-CA9E-4499-935A-EC8E3929A49C}"/>
    <cellStyle name="Millares 55 2 11 4 4 3 25 3 4" xfId="4990" xr:uid="{4AA4A565-8F62-4AF9-A906-068BC0CCA7DC}"/>
    <cellStyle name="Millares 55 2 11 4 4 3 25 3 4 2" xfId="9558" xr:uid="{0FA56B85-CD82-44E1-ABB7-F970A5DF81DC}"/>
    <cellStyle name="Millares 55 2 11 4 4 3 25 3 5" xfId="7266" xr:uid="{EFEBD165-CD6A-458A-9D7B-04E6313A1114}"/>
    <cellStyle name="Millares 55 2 11 4 4 3 25 3 6" xfId="2564" xr:uid="{3E196573-02A9-4D2F-B026-7EF6564515BB}"/>
    <cellStyle name="Millares 55 2 11 4 4 3 25 30" xfId="4987" xr:uid="{A146D344-1D26-479A-A16B-D055FDB996FC}"/>
    <cellStyle name="Millares 55 2 11 4 4 3 25 30 2" xfId="9555" xr:uid="{F871AFF4-D59C-4896-9312-8A9FD6880D03}"/>
    <cellStyle name="Millares 55 2 11 4 4 3 25 31" xfId="6304" xr:uid="{7F5598D4-5909-483F-AB71-3ED61CA947F8}"/>
    <cellStyle name="Millares 55 2 11 4 4 3 25 31 2" xfId="10872" xr:uid="{9364106A-395A-4366-97E5-B8404AC29657}"/>
    <cellStyle name="Millares 55 2 11 4 4 3 25 32" xfId="6309" xr:uid="{D5B7F444-F8E8-47B5-AA33-8F61F765DF11}"/>
    <cellStyle name="Millares 55 2 11 4 4 3 25 32 2" xfId="10877" xr:uid="{D0C22AC8-43BD-42D9-9BEF-F3A7D86F00DD}"/>
    <cellStyle name="Millares 55 2 11 4 4 3 25 33" xfId="6316" xr:uid="{49DD607C-F33C-44C9-8745-33220528FA51}"/>
    <cellStyle name="Millares 55 2 11 4 4 3 25 33 2" xfId="10884" xr:uid="{A84E9D05-F990-4AF5-B50D-8035C0D48CF8}"/>
    <cellStyle name="Millares 55 2 11 4 4 3 25 34" xfId="1291" xr:uid="{4740B6CF-EBF0-4CB3-A457-70553F077847}"/>
    <cellStyle name="Millares 55 2 11 4 4 3 25 34 2" xfId="10892" xr:uid="{D22B6B9C-1C42-4010-90F3-1D3FA4FFB23C}"/>
    <cellStyle name="Millares 55 2 11 4 4 3 25 34 3" xfId="6325" xr:uid="{913F6215-22E8-4B65-B982-889A462066D3}"/>
    <cellStyle name="Millares 55 2 11 4 4 3 25 35" xfId="6330" xr:uid="{958CBF90-8CD9-4839-A1B3-D98031598E16}"/>
    <cellStyle name="Millares 55 2 11 4 4 3 25 35 2" xfId="10897" xr:uid="{27301E3C-F3E0-46E1-B701-D2B1E82C6CE4}"/>
    <cellStyle name="Millares 55 2 11 4 4 3 25 36" xfId="6335" xr:uid="{AE152FA1-4149-4155-967B-C69E634B645A}"/>
    <cellStyle name="Millares 55 2 11 4 4 3 25 36 2" xfId="10902" xr:uid="{D458A3E6-BCA3-4E5B-A7CF-9319EC5C8334}"/>
    <cellStyle name="Millares 55 2 11 4 4 3 25 37" xfId="6344" xr:uid="{E06AB3D8-5660-4BC7-AC6C-59C074DD48F3}"/>
    <cellStyle name="Millares 55 2 11 4 4 3 25 37 2" xfId="10911" xr:uid="{4ECA4514-3F06-4122-B3DA-84BB6A770F35}"/>
    <cellStyle name="Millares 55 2 11 4 4 3 25 38" xfId="6349" xr:uid="{2296EC8C-DD40-4830-B2F2-4B265F93729E}"/>
    <cellStyle name="Millares 55 2 11 4 4 3 25 38 2" xfId="10916" xr:uid="{BC8A1824-AB6E-4EE9-BAEE-CFC23738C799}"/>
    <cellStyle name="Millares 55 2 11 4 4 3 25 39" xfId="1319" xr:uid="{8BA78DA4-11A3-4115-8EB7-164196F58B5C}"/>
    <cellStyle name="Millares 55 2 11 4 4 3 25 39 2" xfId="10923" xr:uid="{895B7E36-A0DB-452D-AD50-CA3B0A47B722}"/>
    <cellStyle name="Millares 55 2 11 4 4 3 25 39 3" xfId="6356" xr:uid="{CFC6FB3D-5C1B-42DE-8037-248E70A58E08}"/>
    <cellStyle name="Millares 55 2 11 4 4 3 25 4" xfId="1300" xr:uid="{56E2F482-79F0-4378-AC5B-1044B8672511}"/>
    <cellStyle name="Millares 55 2 11 4 4 3 25 4 2" xfId="3945" xr:uid="{D45DA83A-04F1-4E86-B356-9716CE1D0F10}"/>
    <cellStyle name="Millares 55 2 11 4 4 3 25 4 2 2" xfId="6239" xr:uid="{1CBE5AAF-EE42-4F65-8650-86C4323EE7E6}"/>
    <cellStyle name="Millares 55 2 11 4 4 3 25 4 2 2 2" xfId="10807" xr:uid="{D0497EE3-06BB-4B5D-BA95-7E95C2F29434}"/>
    <cellStyle name="Millares 55 2 11 4 4 3 25 4 2 3" xfId="8515" xr:uid="{C10E84C5-9269-4DFB-B190-44CE6AF211F2}"/>
    <cellStyle name="Millares 55 2 11 4 4 3 25 4 3" xfId="4992" xr:uid="{56053023-D6AF-4329-96FD-CED23182B958}"/>
    <cellStyle name="Millares 55 2 11 4 4 3 25 4 3 2" xfId="9560" xr:uid="{28DD0CB0-90A9-4DFC-A8E7-FE6FB10F56DA}"/>
    <cellStyle name="Millares 55 2 11 4 4 3 25 4 4" xfId="7268" xr:uid="{EDDB3819-5954-4D03-AE0E-DBD78E703124}"/>
    <cellStyle name="Millares 55 2 11 4 4 3 25 4 5" xfId="2566" xr:uid="{0CBFF95E-3FB2-49C4-AD0D-0040403CB207}"/>
    <cellStyle name="Millares 55 2 11 4 4 3 25 40" xfId="6361" xr:uid="{F7FD7D8E-3A2C-4013-9EF9-481F05671703}"/>
    <cellStyle name="Millares 55 2 11 4 4 3 25 40 2" xfId="10928" xr:uid="{968197D7-B820-4B9E-A7B4-66BD969A1DE9}"/>
    <cellStyle name="Millares 55 2 11 4 4 3 25 41" xfId="6369" xr:uid="{F08F6BE7-94B8-4E04-8197-C862202C4C20}"/>
    <cellStyle name="Millares 55 2 11 4 4 3 25 41 2" xfId="10936" xr:uid="{FF4BE800-A927-415E-AE97-5F49103939D3}"/>
    <cellStyle name="Millares 55 2 11 4 4 3 25 42" xfId="7263" xr:uid="{2850FD0F-0CD6-4ED1-9B3B-634BD475B0FD}"/>
    <cellStyle name="Millares 55 2 11 4 4 3 25 43" xfId="2561" xr:uid="{5E75A7AF-F70F-4ED9-A417-4B466ACC7D69}"/>
    <cellStyle name="Millares 55 2 11 4 4 3 25 5" xfId="2568" xr:uid="{4832E8C9-0160-4D87-9EF9-35EF8BB68B6A}"/>
    <cellStyle name="Millares 55 2 11 4 4 3 25 5 2" xfId="3947" xr:uid="{0903400D-958B-426B-9506-2622280385F7}"/>
    <cellStyle name="Millares 55 2 11 4 4 3 25 5 2 2" xfId="6241" xr:uid="{686FF770-A3C4-47C0-9DC1-68825321680D}"/>
    <cellStyle name="Millares 55 2 11 4 4 3 25 5 2 2 2" xfId="10809" xr:uid="{2C034306-45FD-405F-B4C1-48306FF96D68}"/>
    <cellStyle name="Millares 55 2 11 4 4 3 25 5 2 3" xfId="8517" xr:uid="{08882F32-5035-42FE-98CC-5494BB7D48F7}"/>
    <cellStyle name="Millares 55 2 11 4 4 3 25 5 3" xfId="4994" xr:uid="{1C8341AF-1859-4894-970E-3CD8DCD62E0D}"/>
    <cellStyle name="Millares 55 2 11 4 4 3 25 5 3 2" xfId="9562" xr:uid="{76008BAC-FA6D-47E9-8F27-DD49C8C4AE20}"/>
    <cellStyle name="Millares 55 2 11 4 4 3 25 5 4" xfId="7270" xr:uid="{326EC5CD-958B-4CF0-8FD1-16AEE24FBEC2}"/>
    <cellStyle name="Millares 55 2 11 4 4 3 25 6" xfId="1175" xr:uid="{00000000-0005-0000-0000-000098020000}"/>
    <cellStyle name="Millares 55 2 11 4 4 3 25 6 2" xfId="3949" xr:uid="{1426C401-189A-45AD-99E9-0FF85E76458A}"/>
    <cellStyle name="Millares 55 2 11 4 4 3 25 6 2 2" xfId="6243" xr:uid="{63F56681-904A-4130-9C32-DC5D8C766810}"/>
    <cellStyle name="Millares 55 2 11 4 4 3 25 6 2 2 2" xfId="10811" xr:uid="{31CA8CD2-BE20-4EFF-B3FD-234529EB3EBA}"/>
    <cellStyle name="Millares 55 2 11 4 4 3 25 6 2 3" xfId="8519" xr:uid="{8CACFBFA-A34C-4557-A347-790AF3595E98}"/>
    <cellStyle name="Millares 55 2 11 4 4 3 25 6 3" xfId="4996" xr:uid="{6F26072F-7B0C-4243-A731-0E87A17B0A74}"/>
    <cellStyle name="Millares 55 2 11 4 4 3 25 6 3 2" xfId="9564" xr:uid="{2FE0ED59-05EA-4353-A462-F13EE3D8AB5D}"/>
    <cellStyle name="Millares 55 2 11 4 4 3 25 6 4" xfId="7272" xr:uid="{B1FA074B-A29E-4FFE-9614-8EF5D1F48BC0}"/>
    <cellStyle name="Millares 55 2 11 4 4 3 25 6 5" xfId="2570" xr:uid="{90CB928C-C095-4AE4-8B3E-5252322FBB21}"/>
    <cellStyle name="Millares 55 2 11 4 4 3 25 7" xfId="2572" xr:uid="{60A29788-6DB7-4AAF-8C3D-4318FFA0AF8C}"/>
    <cellStyle name="Millares 55 2 11 4 4 3 25 7 2" xfId="3951" xr:uid="{3895FBCC-5BE3-41FD-8163-5DDCF1C1B81C}"/>
    <cellStyle name="Millares 55 2 11 4 4 3 25 7 2 2" xfId="6245" xr:uid="{E7796F67-F878-4C90-AC62-20C8153A916F}"/>
    <cellStyle name="Millares 55 2 11 4 4 3 25 7 2 2 2" xfId="10813" xr:uid="{C5162305-129D-4F15-9B4A-69381BD8CF7A}"/>
    <cellStyle name="Millares 55 2 11 4 4 3 25 7 2 3" xfId="8521" xr:uid="{3E649B5A-C949-4AB1-8178-BBD4B86D7DAA}"/>
    <cellStyle name="Millares 55 2 11 4 4 3 25 7 3" xfId="4998" xr:uid="{6968F951-2B28-4E69-8C6B-D43493274EF5}"/>
    <cellStyle name="Millares 55 2 11 4 4 3 25 7 3 2" xfId="9566" xr:uid="{CD3487F1-A22D-4C7B-A3A6-669139921EF1}"/>
    <cellStyle name="Millares 55 2 11 4 4 3 25 7 4" xfId="7274" xr:uid="{4A654F5D-4154-4552-9275-721B1F1FB536}"/>
    <cellStyle name="Millares 55 2 11 4 4 3 25 8" xfId="2574" xr:uid="{94B47C1C-3211-4FC1-AA26-D23FAE3E0148}"/>
    <cellStyle name="Millares 55 2 11 4 4 3 25 8 2" xfId="3940" xr:uid="{A9D70476-74C2-4A0E-A142-9C49E7F6A5E4}"/>
    <cellStyle name="Millares 55 2 11 4 4 3 25 8 2 2" xfId="6234" xr:uid="{F585BBB8-84DA-4CAE-93E9-24A9B8AC5CC8}"/>
    <cellStyle name="Millares 55 2 11 4 4 3 25 8 2 2 2" xfId="10802" xr:uid="{E0AF6B45-A279-40F7-8FD5-ED94AB9E7ED8}"/>
    <cellStyle name="Millares 55 2 11 4 4 3 25 8 2 3" xfId="8510" xr:uid="{8944424E-C444-4D46-A3CB-B663688202F5}"/>
    <cellStyle name="Millares 55 2 11 4 4 3 25 8 3" xfId="5000" xr:uid="{F6822433-D034-4B79-8541-A38E458D2F79}"/>
    <cellStyle name="Millares 55 2 11 4 4 3 25 8 3 2" xfId="9568" xr:uid="{B0017DF0-8635-4C11-9209-02AEFCDF22DA}"/>
    <cellStyle name="Millares 55 2 11 4 4 3 25 8 4" xfId="7276" xr:uid="{A7B3DB99-E86F-483F-B0DA-16AAB2B8C327}"/>
    <cellStyle name="Millares 55 2 11 4 4 3 25 9" xfId="2576" xr:uid="{27134EAA-3F6F-42B6-A1E0-3DEDF0AA3493}"/>
    <cellStyle name="Millares 55 2 11 4 4 3 25 9 2" xfId="5002" xr:uid="{9F94E4C8-C153-4F1E-9B2F-E99534ADCD6D}"/>
    <cellStyle name="Millares 55 2 11 4 4 3 25 9 2 2" xfId="9570" xr:uid="{A5E1E699-6B26-4A15-82A9-4A8BAE132E8C}"/>
    <cellStyle name="Millares 55 2 11 4 4 3 25 9 3" xfId="7278" xr:uid="{4A576F52-5EDC-4C05-8CCB-571D6EC0D439}"/>
    <cellStyle name="Millares 55 2 11 4 4 3 26" xfId="3100" xr:uid="{5A326F30-CD03-4BEB-901D-EB4FFEA858E7}"/>
    <cellStyle name="Millares 55 2 11 4 4 3 26 2" xfId="5524" xr:uid="{F0EE7867-AC1D-4AE7-8139-26CF9BA764C3}"/>
    <cellStyle name="Millares 55 2 11 4 4 3 26 2 2" xfId="10092" xr:uid="{45E2AF9A-CA7C-413C-9876-82242E00ED48}"/>
    <cellStyle name="Millares 55 2 11 4 4 3 26 3" xfId="7800" xr:uid="{1C3121D8-81A8-4586-BE9B-67A0B57AAC20}"/>
    <cellStyle name="Millares 55 2 11 4 4 3 27" xfId="3681" xr:uid="{25F25A2E-74F7-4988-BCE1-722F238E6456}"/>
    <cellStyle name="Millares 55 2 11 4 4 3 27 2" xfId="6084" xr:uid="{94B7D39E-E454-4E64-BB34-58F69276C4A0}"/>
    <cellStyle name="Millares 55 2 11 4 4 3 27 2 2" xfId="10652" xr:uid="{4ED944AB-4DF2-4CC2-B18E-286DE844251E}"/>
    <cellStyle name="Millares 55 2 11 4 4 3 27 3" xfId="8360" xr:uid="{08C06999-ECFB-4EA8-89A0-E4CC02EDBD7E}"/>
    <cellStyle name="Millares 55 2 11 4 4 3 28" xfId="2669" xr:uid="{8C666F6C-522A-4AAE-AE64-8C26849B0286}"/>
    <cellStyle name="Millares 55 2 11 4 4 3 28 2" xfId="5095" xr:uid="{CE36FA88-7042-443F-A4B4-DEB1FF15197A}"/>
    <cellStyle name="Millares 55 2 11 4 4 3 28 2 2" xfId="9663" xr:uid="{19DB0DCB-0651-48E9-9FED-C46A6D7308EA}"/>
    <cellStyle name="Millares 55 2 11 4 4 3 28 3" xfId="7371" xr:uid="{3ED8EE94-A8A7-4172-8639-A824B57C6354}"/>
    <cellStyle name="Millares 55 2 11 4 4 3 29" xfId="4515" xr:uid="{09020E14-05A9-4723-8551-4722FBAB3C4B}"/>
    <cellStyle name="Millares 55 2 11 4 4 3 29 2" xfId="9083" xr:uid="{720EC255-A9A9-46F0-BC6E-A94D9BEC616E}"/>
    <cellStyle name="Millares 55 2 11 4 4 3 3" xfId="1984" xr:uid="{BBAB041A-17A3-40D3-B4CA-7A0537EA6031}"/>
    <cellStyle name="Millares 55 2 11 4 4 3 3 2" xfId="2521" xr:uid="{E56E9328-086C-4F6E-955D-EBF23594BB92}"/>
    <cellStyle name="Millares 55 2 11 4 4 3 3 2 2" xfId="3900" xr:uid="{43317C15-9A81-4451-AA14-021EB3B612BF}"/>
    <cellStyle name="Millares 55 2 11 4 4 3 3 2 2 2" xfId="6194" xr:uid="{CA49BEA9-FE8C-4392-ABF7-B0B23911960A}"/>
    <cellStyle name="Millares 55 2 11 4 4 3 3 2 2 2 2" xfId="10762" xr:uid="{3F3BA85D-2EBA-46CB-8C3C-1234A6E2B4DC}"/>
    <cellStyle name="Millares 55 2 11 4 4 3 3 2 2 3" xfId="8470" xr:uid="{63C94CDA-A041-463D-961E-83DDAA6853FB}"/>
    <cellStyle name="Millares 55 2 11 4 4 3 3 2 3" xfId="3532" xr:uid="{59AF8911-E989-4B6E-9A9C-D439E37BE91B}"/>
    <cellStyle name="Millares 55 2 11 4 4 3 3 2 3 2" xfId="5956" xr:uid="{DC018EC0-E6B0-4CEC-A5EB-2325C7ACBB88}"/>
    <cellStyle name="Millares 55 2 11 4 4 3 3 2 3 2 2" xfId="10524" xr:uid="{AC04FAB4-1BAC-4A8F-B6DA-05425FA5D7EF}"/>
    <cellStyle name="Millares 55 2 11 4 4 3 3 2 3 3" xfId="8232" xr:uid="{C28BE1FC-235A-4A25-B2AA-B283C09BA564}"/>
    <cellStyle name="Millares 55 2 11 4 4 3 3 2 4" xfId="4947" xr:uid="{C21B84A7-1C9F-4F16-A95E-C25C6F11B699}"/>
    <cellStyle name="Millares 55 2 11 4 4 3 3 2 4 2" xfId="9515" xr:uid="{A9984D4B-06CB-48C7-8560-E7A6171D96DB}"/>
    <cellStyle name="Millares 55 2 11 4 4 3 3 2 5" xfId="7223" xr:uid="{B4E18702-3449-4BDD-9D31-2AFBB7F4B18C}"/>
    <cellStyle name="Millares 55 2 11 4 4 3 3 3" xfId="3685" xr:uid="{60A70E12-A41E-4039-A57B-81A580A08AB5}"/>
    <cellStyle name="Millares 55 2 11 4 4 3 3 3 2" xfId="6088" xr:uid="{7FEEF32E-C1CF-469A-97AF-9BD93B5B7E23}"/>
    <cellStyle name="Millares 55 2 11 4 4 3 3 3 2 2" xfId="10656" xr:uid="{0F29EF2B-0383-4E11-BFD7-ED1E8CB741BA}"/>
    <cellStyle name="Millares 55 2 11 4 4 3 3 3 3" xfId="8364" xr:uid="{005E3145-6DAB-46FF-8022-26EB369C5787}"/>
    <cellStyle name="Millares 55 2 11 4 4 3 3 4" xfId="3104" xr:uid="{8E9D8C58-62E5-4C61-8740-F99633F1778B}"/>
    <cellStyle name="Millares 55 2 11 4 4 3 3 4 2" xfId="5528" xr:uid="{461FA580-8207-4B0E-BF8A-A90CB46811E3}"/>
    <cellStyle name="Millares 55 2 11 4 4 3 3 4 2 2" xfId="10096" xr:uid="{8A511C69-FF39-4211-8CE4-BD64A94D72CA}"/>
    <cellStyle name="Millares 55 2 11 4 4 3 3 4 3" xfId="7804" xr:uid="{BA73F4FB-64FB-42F1-80CE-A5A150C4F612}"/>
    <cellStyle name="Millares 55 2 11 4 4 3 3 5" xfId="4519" xr:uid="{F533A249-CEE6-4B6E-9DAB-438DE422E847}"/>
    <cellStyle name="Millares 55 2 11 4 4 3 3 5 2" xfId="9087" xr:uid="{6FDB1107-E0B8-4EAC-B4E4-2B47025FBAB5}"/>
    <cellStyle name="Millares 55 2 11 4 4 3 3 6" xfId="6795" xr:uid="{A3C13619-9749-4A25-8718-B1B60D59D5C7}"/>
    <cellStyle name="Millares 55 2 11 4 4 3 30" xfId="6791" xr:uid="{130F6D63-28A1-4727-9854-03F5163CD89A}"/>
    <cellStyle name="Millares 55 2 11 4 4 3 31" xfId="1980" xr:uid="{733D7B70-15DC-4E55-B6F8-50BF2E97DA51}"/>
    <cellStyle name="Millares 55 2 11 4 4 3 4" xfId="1079" xr:uid="{00000000-0005-0000-0000-000099020000}"/>
    <cellStyle name="Millares 55 2 11 4 4 3 4 2" xfId="2523" xr:uid="{0DA9C9D6-3C3E-4034-B8B1-5A098A965A83}"/>
    <cellStyle name="Millares 55 2 11 4 4 3 4 2 2" xfId="3902" xr:uid="{15F90579-F82F-430D-9AE2-39445152A375}"/>
    <cellStyle name="Millares 55 2 11 4 4 3 4 2 2 2" xfId="6196" xr:uid="{F965487A-A82F-4514-AB64-A527BED3037C}"/>
    <cellStyle name="Millares 55 2 11 4 4 3 4 2 2 2 2" xfId="10764" xr:uid="{E76BCFEE-DE4E-43B3-A2E4-2B926B344926}"/>
    <cellStyle name="Millares 55 2 11 4 4 3 4 2 2 3" xfId="8472" xr:uid="{45C87003-F38E-4467-AF37-1C8B7F32EB04}"/>
    <cellStyle name="Millares 55 2 11 4 4 3 4 2 3" xfId="3534" xr:uid="{10A2B8CE-3BAD-4B8F-9E67-B3454A4796CF}"/>
    <cellStyle name="Millares 55 2 11 4 4 3 4 2 3 2" xfId="5958" xr:uid="{753BB4F8-1649-40A9-98F3-7398E90CBE4A}"/>
    <cellStyle name="Millares 55 2 11 4 4 3 4 2 3 2 2" xfId="10526" xr:uid="{ECC59DBB-8AAF-484D-93DA-DC2BCBCDE8D9}"/>
    <cellStyle name="Millares 55 2 11 4 4 3 4 2 3 3" xfId="8234" xr:uid="{1662763D-9A5B-4795-82E0-30D63C579858}"/>
    <cellStyle name="Millares 55 2 11 4 4 3 4 2 4" xfId="4949" xr:uid="{1AA04082-1907-46D2-838D-691F2A907A92}"/>
    <cellStyle name="Millares 55 2 11 4 4 3 4 2 4 2" xfId="9517" xr:uid="{66B3C3DA-2914-4619-8090-EC9A97FF18C1}"/>
    <cellStyle name="Millares 55 2 11 4 4 3 4 2 5" xfId="7225" xr:uid="{9ABF38E7-1FE4-448E-A274-422C27485A5D}"/>
    <cellStyle name="Millares 55 2 11 4 4 3 4 3" xfId="3687" xr:uid="{732036FB-4766-4539-BEA7-D8AC06B12884}"/>
    <cellStyle name="Millares 55 2 11 4 4 3 4 3 2" xfId="6090" xr:uid="{AF4A088F-4094-46E9-BA0B-7350A2CCBDC1}"/>
    <cellStyle name="Millares 55 2 11 4 4 3 4 3 2 2" xfId="10658" xr:uid="{9312B20A-073F-4706-8500-20B46BEDACE9}"/>
    <cellStyle name="Millares 55 2 11 4 4 3 4 3 3" xfId="8366" xr:uid="{4D3DBD04-FBCB-4FFB-A218-38778A50BA06}"/>
    <cellStyle name="Millares 55 2 11 4 4 3 4 4" xfId="3106" xr:uid="{2FD4872B-FEB6-425F-91B1-123E8585C410}"/>
    <cellStyle name="Millares 55 2 11 4 4 3 4 4 2" xfId="5530" xr:uid="{1CB2992D-44A6-4017-BA3D-0DFB50036F12}"/>
    <cellStyle name="Millares 55 2 11 4 4 3 4 4 2 2" xfId="10098" xr:uid="{9AC1226E-466E-47CA-BDDA-F59F0DEE97CC}"/>
    <cellStyle name="Millares 55 2 11 4 4 3 4 4 3" xfId="7806" xr:uid="{43C6F1FA-CC3C-4A9C-85F9-FD8345F41B4B}"/>
    <cellStyle name="Millares 55 2 11 4 4 3 4 5" xfId="4521" xr:uid="{F4C66778-8994-4B0A-9A5E-44EEDDB9F030}"/>
    <cellStyle name="Millares 55 2 11 4 4 3 4 5 2" xfId="9089" xr:uid="{A13DC4A5-1772-4671-9C7B-F2971D4F51E0}"/>
    <cellStyle name="Millares 55 2 11 4 4 3 4 6" xfId="6797" xr:uid="{19DA8DB0-FEC7-4E7F-BAC4-E9E62F78ACFB}"/>
    <cellStyle name="Millares 55 2 11 4 4 3 4 7" xfId="1986" xr:uid="{DC854925-DE6A-4070-BEAC-E1795DA4E0ED}"/>
    <cellStyle name="Millares 55 2 11 4 4 3 5" xfId="1988" xr:uid="{477CA5C4-2362-408D-8112-F94CD973B10F}"/>
    <cellStyle name="Millares 55 2 11 4 4 3 5 2" xfId="2525" xr:uid="{BF465E5A-E6AA-4C11-A3ED-C3EEA66149D1}"/>
    <cellStyle name="Millares 55 2 11 4 4 3 5 2 2" xfId="3904" xr:uid="{F95F8949-1DF5-47AA-814F-A0FAB3AD363E}"/>
    <cellStyle name="Millares 55 2 11 4 4 3 5 2 2 2" xfId="6198" xr:uid="{38933F5A-2D28-4240-BCFA-550F4CD31394}"/>
    <cellStyle name="Millares 55 2 11 4 4 3 5 2 2 2 2" xfId="10766" xr:uid="{932AD7A2-791B-4211-B09B-B64691514DB5}"/>
    <cellStyle name="Millares 55 2 11 4 4 3 5 2 2 3" xfId="8474" xr:uid="{54EBECE1-C2B3-48BA-A284-886A22A6AAB8}"/>
    <cellStyle name="Millares 55 2 11 4 4 3 5 2 3" xfId="3536" xr:uid="{F92F5B2A-F2F3-4745-BE47-A8D74F8D9138}"/>
    <cellStyle name="Millares 55 2 11 4 4 3 5 2 3 2" xfId="5960" xr:uid="{D267E0A6-962F-4785-8D04-9995B4DCD4AD}"/>
    <cellStyle name="Millares 55 2 11 4 4 3 5 2 3 2 2" xfId="10528" xr:uid="{FC521E80-78FF-4BD3-BE25-4D20454CC3B1}"/>
    <cellStyle name="Millares 55 2 11 4 4 3 5 2 3 3" xfId="8236" xr:uid="{9A506078-B856-426A-9F62-E781A24C3D4A}"/>
    <cellStyle name="Millares 55 2 11 4 4 3 5 2 4" xfId="4951" xr:uid="{D0C9DE6F-F306-41B8-8D65-10708973E063}"/>
    <cellStyle name="Millares 55 2 11 4 4 3 5 2 4 2" xfId="9519" xr:uid="{14D67AD6-5218-4DFD-9734-21473AE784E4}"/>
    <cellStyle name="Millares 55 2 11 4 4 3 5 2 5" xfId="7227" xr:uid="{10BA4C70-D349-4980-9288-645813F71DD3}"/>
    <cellStyle name="Millares 55 2 11 4 4 3 5 3" xfId="3689" xr:uid="{67168238-2BC9-4E42-B03E-A4C6F34A2F99}"/>
    <cellStyle name="Millares 55 2 11 4 4 3 5 3 2" xfId="6092" xr:uid="{34891C79-D128-4D63-B23A-E24D68078CDF}"/>
    <cellStyle name="Millares 55 2 11 4 4 3 5 3 2 2" xfId="10660" xr:uid="{F7A1181E-3631-421C-81BE-99A2F8E65CEB}"/>
    <cellStyle name="Millares 55 2 11 4 4 3 5 3 3" xfId="8368" xr:uid="{E5676DB2-B83E-4C99-AB5A-A7C2B06D215D}"/>
    <cellStyle name="Millares 55 2 11 4 4 3 5 4" xfId="3108" xr:uid="{AE088B14-3C65-4069-B6B2-2357F2287C83}"/>
    <cellStyle name="Millares 55 2 11 4 4 3 5 4 2" xfId="5532" xr:uid="{AC79C66F-B585-409A-AF81-2D805387F11B}"/>
    <cellStyle name="Millares 55 2 11 4 4 3 5 4 2 2" xfId="10100" xr:uid="{8C081D20-13EE-45BC-A47A-CFA6D0AE124F}"/>
    <cellStyle name="Millares 55 2 11 4 4 3 5 4 3" xfId="7808" xr:uid="{8AA32041-5CBC-4D3F-A04F-565FD0D2F727}"/>
    <cellStyle name="Millares 55 2 11 4 4 3 5 5" xfId="4523" xr:uid="{34C4D55F-F9E9-441B-B2BC-8DCB1B8AFDBC}"/>
    <cellStyle name="Millares 55 2 11 4 4 3 5 5 2" xfId="9091" xr:uid="{ECF0BF6E-03D1-4473-863B-E4A014A97D67}"/>
    <cellStyle name="Millares 55 2 11 4 4 3 5 6" xfId="6799" xr:uid="{7C69DEA7-F023-409D-9036-D888E16D59BC}"/>
    <cellStyle name="Millares 55 2 11 4 4 3 6" xfId="1990" xr:uid="{ED789594-7EE4-4A30-BC24-5FEBC39B016A}"/>
    <cellStyle name="Millares 55 2 11 4 4 3 6 2" xfId="2527" xr:uid="{FC4D3ED8-6B10-4894-9702-E463D1E8240B}"/>
    <cellStyle name="Millares 55 2 11 4 4 3 6 2 2" xfId="3906" xr:uid="{14CC9F8D-BC14-4E5B-A8D0-642D0BCDBEAE}"/>
    <cellStyle name="Millares 55 2 11 4 4 3 6 2 2 2" xfId="6200" xr:uid="{EFB36F4B-6ED7-4F07-8C79-6A6E1C927839}"/>
    <cellStyle name="Millares 55 2 11 4 4 3 6 2 2 2 2" xfId="10768" xr:uid="{F1A63636-4BE9-401C-A0B6-827AE94810C8}"/>
    <cellStyle name="Millares 55 2 11 4 4 3 6 2 2 3" xfId="8476" xr:uid="{1C314B17-9AAE-4DB6-B9BA-992E727CD83E}"/>
    <cellStyle name="Millares 55 2 11 4 4 3 6 2 3" xfId="3538" xr:uid="{598F6DEC-C101-46DE-BA07-25C025314882}"/>
    <cellStyle name="Millares 55 2 11 4 4 3 6 2 3 2" xfId="5962" xr:uid="{9051574A-5BC3-4BEB-B861-D9096E00CFD3}"/>
    <cellStyle name="Millares 55 2 11 4 4 3 6 2 3 2 2" xfId="10530" xr:uid="{0750894E-2EC5-4AC0-BD38-60ECCFD8AE7B}"/>
    <cellStyle name="Millares 55 2 11 4 4 3 6 2 3 3" xfId="8238" xr:uid="{0353E528-AEF4-43E4-9803-9F9F729CC818}"/>
    <cellStyle name="Millares 55 2 11 4 4 3 6 2 4" xfId="4953" xr:uid="{8C2985F4-F4FA-4789-97C1-9B8ED25BDE4C}"/>
    <cellStyle name="Millares 55 2 11 4 4 3 6 2 4 2" xfId="9521" xr:uid="{9F7A0718-C950-4B85-86B0-4C2AE0A9133E}"/>
    <cellStyle name="Millares 55 2 11 4 4 3 6 2 5" xfId="7229" xr:uid="{931339A5-E1F1-45C2-A91E-177BCFAB9D99}"/>
    <cellStyle name="Millares 55 2 11 4 4 3 6 3" xfId="3691" xr:uid="{7B267581-79FE-48E2-AE25-BCDC77C20AC7}"/>
    <cellStyle name="Millares 55 2 11 4 4 3 6 3 2" xfId="6094" xr:uid="{0BBDF313-16CD-45AB-8C2F-93813854BC03}"/>
    <cellStyle name="Millares 55 2 11 4 4 3 6 3 2 2" xfId="10662" xr:uid="{CC4738B8-2F45-4353-90EF-69ADEA6CE1E7}"/>
    <cellStyle name="Millares 55 2 11 4 4 3 6 3 3" xfId="8370" xr:uid="{04D9485C-4A77-4B38-A610-DC4FEF4A77F8}"/>
    <cellStyle name="Millares 55 2 11 4 4 3 6 4" xfId="3110" xr:uid="{F79E73A2-7BB9-4D5A-AA55-F563CDAF186D}"/>
    <cellStyle name="Millares 55 2 11 4 4 3 6 4 2" xfId="5534" xr:uid="{BE18E2B2-2D74-4F25-8968-751C2F766CBA}"/>
    <cellStyle name="Millares 55 2 11 4 4 3 6 4 2 2" xfId="10102" xr:uid="{1ABA5A89-15A3-4A63-9708-32E93558610B}"/>
    <cellStyle name="Millares 55 2 11 4 4 3 6 4 3" xfId="7810" xr:uid="{24E6BB64-0306-4182-B85B-891A0B84E59E}"/>
    <cellStyle name="Millares 55 2 11 4 4 3 6 5" xfId="4525" xr:uid="{421021E8-20A3-4B95-B753-7079BD8F1891}"/>
    <cellStyle name="Millares 55 2 11 4 4 3 6 5 2" xfId="9093" xr:uid="{98D6E709-6A22-44BD-AF17-5E358E16A4C7}"/>
    <cellStyle name="Millares 55 2 11 4 4 3 6 6" xfId="6801" xr:uid="{851E7294-C61A-4C55-8A4F-C1565D0F746E}"/>
    <cellStyle name="Millares 55 2 11 4 4 3 7" xfId="1992" xr:uid="{F0B0701C-AC8D-4CD7-988F-1796AEFCD99D}"/>
    <cellStyle name="Millares 55 2 11 4 4 3 7 2" xfId="2529" xr:uid="{02FE89D0-56D5-41DE-B10F-F11589952A7C}"/>
    <cellStyle name="Millares 55 2 11 4 4 3 7 2 2" xfId="3908" xr:uid="{EDC9AAD7-89BD-40F7-9F31-8AEABF68A63D}"/>
    <cellStyle name="Millares 55 2 11 4 4 3 7 2 2 2" xfId="6202" xr:uid="{59822FAF-1E7B-4E8B-A9AD-596D976DA350}"/>
    <cellStyle name="Millares 55 2 11 4 4 3 7 2 2 2 2" xfId="10770" xr:uid="{81AE9612-C8EC-4C76-BE48-2570F2E9269C}"/>
    <cellStyle name="Millares 55 2 11 4 4 3 7 2 2 3" xfId="8478" xr:uid="{C5DD75A5-AA2B-4A12-9CD9-0DE5B2154A15}"/>
    <cellStyle name="Millares 55 2 11 4 4 3 7 2 3" xfId="3540" xr:uid="{46964B7E-BE42-4E6A-BA3B-7CC53A860DB6}"/>
    <cellStyle name="Millares 55 2 11 4 4 3 7 2 3 2" xfId="5964" xr:uid="{49FBDC8F-0D31-40AC-AD62-F3C70B99F14E}"/>
    <cellStyle name="Millares 55 2 11 4 4 3 7 2 3 2 2" xfId="10532" xr:uid="{FBABAE99-3556-47CF-BA1E-C0DFAB48CC91}"/>
    <cellStyle name="Millares 55 2 11 4 4 3 7 2 3 3" xfId="8240" xr:uid="{505AA8DE-ABDC-4B14-9CD7-B0C565B2AE66}"/>
    <cellStyle name="Millares 55 2 11 4 4 3 7 2 4" xfId="4955" xr:uid="{CA63712B-F633-4234-822F-6DC7F3C0B0B9}"/>
    <cellStyle name="Millares 55 2 11 4 4 3 7 2 4 2" xfId="9523" xr:uid="{7397B8CE-1DAD-49ED-A89C-E5CC23497938}"/>
    <cellStyle name="Millares 55 2 11 4 4 3 7 2 5" xfId="7231" xr:uid="{26BD3B73-4A83-4DE0-990D-272FA9DC0C2D}"/>
    <cellStyle name="Millares 55 2 11 4 4 3 7 3" xfId="3693" xr:uid="{A43E8AC9-2285-4343-9CE1-C48B1F83D518}"/>
    <cellStyle name="Millares 55 2 11 4 4 3 7 3 2" xfId="6096" xr:uid="{86862786-E6D0-4494-9285-F8A69AB4A64F}"/>
    <cellStyle name="Millares 55 2 11 4 4 3 7 3 2 2" xfId="10664" xr:uid="{E05209E8-43C2-4EDB-9FB3-1B9B6EF05659}"/>
    <cellStyle name="Millares 55 2 11 4 4 3 7 3 3" xfId="8372" xr:uid="{D990DC48-438B-40A4-B631-F73C5A73A223}"/>
    <cellStyle name="Millares 55 2 11 4 4 3 7 4" xfId="3112" xr:uid="{C5FDBE23-2A15-4C2E-9739-C55ACE360DA8}"/>
    <cellStyle name="Millares 55 2 11 4 4 3 7 4 2" xfId="5536" xr:uid="{428313BF-F2FE-4323-8DBC-935DD00868FA}"/>
    <cellStyle name="Millares 55 2 11 4 4 3 7 4 2 2" xfId="10104" xr:uid="{D144C6C8-DA16-4E5B-A8DC-D7C82E7725A6}"/>
    <cellStyle name="Millares 55 2 11 4 4 3 7 4 3" xfId="7812" xr:uid="{2EE7FAF2-F851-45C0-B41A-29FE9ACB86E2}"/>
    <cellStyle name="Millares 55 2 11 4 4 3 7 5" xfId="4527" xr:uid="{A0FCB57E-5FC7-4E50-82A4-2F0FD40F0869}"/>
    <cellStyle name="Millares 55 2 11 4 4 3 7 5 2" xfId="9095" xr:uid="{A287E8FB-5AD0-4E53-B39F-63443B036E3F}"/>
    <cellStyle name="Millares 55 2 11 4 4 3 7 6" xfId="6803" xr:uid="{B7E41203-6AF0-4F5D-9013-C42E36A6D8D7}"/>
    <cellStyle name="Millares 55 2 11 4 4 3 8" xfId="1994" xr:uid="{D8D81144-981C-4CD2-BC13-5495DD798DCE}"/>
    <cellStyle name="Millares 55 2 11 4 4 3 8 2" xfId="3695" xr:uid="{7AF0D501-4F97-43FD-B68D-A3F30260476A}"/>
    <cellStyle name="Millares 55 2 11 4 4 3 8 2 2" xfId="6098" xr:uid="{A4FFF0AD-182F-4E54-B0DF-F048E96E2E0D}"/>
    <cellStyle name="Millares 55 2 11 4 4 3 8 2 2 2" xfId="10666" xr:uid="{6E0ABF27-2226-40D9-842C-3F151F13AA1F}"/>
    <cellStyle name="Millares 55 2 11 4 4 3 8 2 3" xfId="8374" xr:uid="{619E64CE-935D-47D8-B55C-0E95BCB65F6C}"/>
    <cellStyle name="Millares 55 2 11 4 4 3 8 3" xfId="3114" xr:uid="{8C342A08-0FB4-4DD2-A5CE-C8AC4CAD158B}"/>
    <cellStyle name="Millares 55 2 11 4 4 3 8 3 2" xfId="5538" xr:uid="{54AC688B-7430-44AD-947D-13209748B524}"/>
    <cellStyle name="Millares 55 2 11 4 4 3 8 3 2 2" xfId="10106" xr:uid="{318DDCCA-BBB3-4553-82A7-E828668D650F}"/>
    <cellStyle name="Millares 55 2 11 4 4 3 8 3 3" xfId="7814" xr:uid="{6347DFE0-BE40-41F5-A1F6-7E6D9E865B8D}"/>
    <cellStyle name="Millares 55 2 11 4 4 3 8 4" xfId="4529" xr:uid="{4ED7DCA3-FE5A-437A-8331-1E1D1CB99F60}"/>
    <cellStyle name="Millares 55 2 11 4 4 3 8 4 2" xfId="9097" xr:uid="{F9B5AA53-E147-4153-A9E2-13FD6BCDA20E}"/>
    <cellStyle name="Millares 55 2 11 4 4 3 8 5" xfId="6805" xr:uid="{3D07A0BD-DAEA-4E75-A19A-2B59A30A89E2}"/>
    <cellStyle name="Millares 55 2 11 4 4 3 9" xfId="2517" xr:uid="{AE517BFE-DA4C-4379-B488-9A9A594781DE}"/>
    <cellStyle name="Millares 55 2 11 4 4 3 9 2" xfId="3896" xr:uid="{0B3F1E55-9F76-43CB-A92A-88D996C822A8}"/>
    <cellStyle name="Millares 55 2 11 4 4 3 9 2 2" xfId="6190" xr:uid="{9A5E3E3D-5DFB-493F-A412-5E7EFCF8893D}"/>
    <cellStyle name="Millares 55 2 11 4 4 3 9 2 2 2" xfId="10758" xr:uid="{CFE9C81C-9AA7-40DF-BFB5-9278AD523F5B}"/>
    <cellStyle name="Millares 55 2 11 4 4 3 9 2 3" xfId="8466" xr:uid="{C9A2670F-B513-43C6-A8E9-447521306C3E}"/>
    <cellStyle name="Millares 55 2 11 4 4 3 9 3" xfId="3528" xr:uid="{0F879C76-FCAD-48E5-8808-1E97D1A5ADA7}"/>
    <cellStyle name="Millares 55 2 11 4 4 3 9 3 2" xfId="5952" xr:uid="{8F75AF15-335F-4D43-B932-8E1205C770D0}"/>
    <cellStyle name="Millares 55 2 11 4 4 3 9 3 2 2" xfId="10520" xr:uid="{08A13004-3F35-4651-883C-3D5DD5238660}"/>
    <cellStyle name="Millares 55 2 11 4 4 3 9 3 3" xfId="8228" xr:uid="{F0DB825E-BE8A-4432-BD39-127F45FC36FF}"/>
    <cellStyle name="Millares 55 2 11 4 4 3 9 4" xfId="4943" xr:uid="{48F1FDA9-F020-4081-963B-AF65AB6642F8}"/>
    <cellStyle name="Millares 55 2 11 4 4 3 9 4 2" xfId="9511" xr:uid="{5626D714-9339-41C4-BD68-6E6A2B32F30E}"/>
    <cellStyle name="Millares 55 2 11 4 4 3 9 5" xfId="7219" xr:uid="{70BFB8E3-A97E-4ABC-B536-16216CBB91DD}"/>
    <cellStyle name="Millares 55 2 11 4 4 4" xfId="2513" xr:uid="{BCF818A5-144F-4060-82B6-746D19673A92}"/>
    <cellStyle name="Millares 55 2 11 4 4 4 2" xfId="3892" xr:uid="{58F9FF92-B515-4C7E-93E9-62C494270B6B}"/>
    <cellStyle name="Millares 55 2 11 4 4 4 2 2" xfId="6186" xr:uid="{EC063EA6-DAAE-4674-A6C4-82A007E92A78}"/>
    <cellStyle name="Millares 55 2 11 4 4 4 2 2 2" xfId="10754" xr:uid="{DD62C3C4-5459-4FC9-B30F-90C3B7DFFF91}"/>
    <cellStyle name="Millares 55 2 11 4 4 4 2 3" xfId="8462" xr:uid="{405A278A-903C-4C89-AE86-A55815BCD293}"/>
    <cellStyle name="Millares 55 2 11 4 4 4 3" xfId="3524" xr:uid="{2C645D5B-3BDC-429F-A0A1-2929366A4DA6}"/>
    <cellStyle name="Millares 55 2 11 4 4 4 3 2" xfId="5948" xr:uid="{440E8F1B-4AF1-42AD-B7F4-0C16E2853290}"/>
    <cellStyle name="Millares 55 2 11 4 4 4 3 2 2" xfId="10516" xr:uid="{578B66D6-D7A1-4AF1-B20A-952A23CE4FB7}"/>
    <cellStyle name="Millares 55 2 11 4 4 4 3 3" xfId="8224" xr:uid="{48B9B82E-B516-4098-B08E-E50136BCE9FA}"/>
    <cellStyle name="Millares 55 2 11 4 4 4 4" xfId="4939" xr:uid="{7EAE8376-D3CF-445B-968A-3540DB00A3BB}"/>
    <cellStyle name="Millares 55 2 11 4 4 4 4 2" xfId="9507" xr:uid="{7B9BD1CD-F227-4B5F-888A-9177D1C7CFD7}"/>
    <cellStyle name="Millares 55 2 11 4 4 4 5" xfId="7215" xr:uid="{97CA7C19-4CEF-4B3E-8830-AD1146F21A39}"/>
    <cellStyle name="Millares 55 2 11 4 4 5" xfId="3096" xr:uid="{F609D561-B27D-4362-BD3D-B761DC8D3484}"/>
    <cellStyle name="Millares 55 2 11 4 4 5 2" xfId="5520" xr:uid="{C3F34BEE-F015-4B7A-8ED9-FF19CBB3F863}"/>
    <cellStyle name="Millares 55 2 11 4 4 5 2 2" xfId="10088" xr:uid="{36305971-66D5-40AE-B955-9C75820B8671}"/>
    <cellStyle name="Millares 55 2 11 4 4 5 3" xfId="7796" xr:uid="{8B0D6E45-0EED-48D9-9DD1-AA9080ACC043}"/>
    <cellStyle name="Millares 55 2 11 4 4 6" xfId="3677" xr:uid="{CF43511C-BA81-4513-85C0-09F7412027BE}"/>
    <cellStyle name="Millares 55 2 11 4 4 6 2" xfId="6080" xr:uid="{C4BC0248-E0A1-4A49-A639-08FBFF77E7A8}"/>
    <cellStyle name="Millares 55 2 11 4 4 6 2 2" xfId="10648" xr:uid="{0D7D31C3-CD75-4C18-8DDD-05F9B8429763}"/>
    <cellStyle name="Millares 55 2 11 4 4 6 3" xfId="8356" xr:uid="{A23EB112-17FA-4B43-8F81-53410E872F9D}"/>
    <cellStyle name="Millares 55 2 11 4 4 7" xfId="2667" xr:uid="{BD204D58-74B7-4953-A3DF-FD65748DF1DE}"/>
    <cellStyle name="Millares 55 2 11 4 4 7 2" xfId="5093" xr:uid="{A5A30B77-FB38-4D55-ABDD-12B723FBDF89}"/>
    <cellStyle name="Millares 55 2 11 4 4 7 2 2" xfId="9661" xr:uid="{87989BC9-F8B7-4DE5-A1DC-87C263AF6389}"/>
    <cellStyle name="Millares 55 2 11 4 4 7 3" xfId="7369" xr:uid="{8D7CFAF5-C990-4289-8664-9BF902396324}"/>
    <cellStyle name="Millares 55 2 11 4 4 8" xfId="4511" xr:uid="{27208F7B-3A09-45C0-A018-3EAC63E2F2DA}"/>
    <cellStyle name="Millares 55 2 11 4 4 8 2" xfId="9079" xr:uid="{A466EBE5-19C8-4A3D-B3B5-FE5210F0D8FC}"/>
    <cellStyle name="Millares 55 2 11 4 4 9" xfId="6787" xr:uid="{0459D54A-D950-4A6D-8F4D-07CCD0202051}"/>
    <cellStyle name="Millares 55 2 11 4 5" xfId="2507" xr:uid="{C5EBD061-862D-455E-ACCC-ECBFF08F88AD}"/>
    <cellStyle name="Millares 55 2 11 4 5 2" xfId="3886" xr:uid="{3C61E82F-18FB-4E41-AB77-53A6FE233595}"/>
    <cellStyle name="Millares 55 2 11 4 5 2 2" xfId="6180" xr:uid="{83063D4D-85E7-4D8E-8399-5484D283AD95}"/>
    <cellStyle name="Millares 55 2 11 4 5 2 2 2" xfId="10748" xr:uid="{D0F0FB5A-14C5-4D6E-BA4A-60450626E409}"/>
    <cellStyle name="Millares 55 2 11 4 5 2 3" xfId="8456" xr:uid="{0331EA14-C22E-4B8B-870C-FE8A65B024BA}"/>
    <cellStyle name="Millares 55 2 11 4 5 3" xfId="3518" xr:uid="{42586C04-C045-4F00-8629-85EB6045326F}"/>
    <cellStyle name="Millares 55 2 11 4 5 3 2" xfId="5942" xr:uid="{E45B9939-979B-4564-B472-4A95A3E85D1E}"/>
    <cellStyle name="Millares 55 2 11 4 5 3 2 2" xfId="10510" xr:uid="{59EE6A84-1A16-4C6F-B0CC-AABE63FF49DF}"/>
    <cellStyle name="Millares 55 2 11 4 5 3 3" xfId="8218" xr:uid="{00EAF4EA-96DD-4073-BB1A-30075704E59C}"/>
    <cellStyle name="Millares 55 2 11 4 5 4" xfId="4933" xr:uid="{26DCD882-26EC-4B37-BBFA-0F748AB54647}"/>
    <cellStyle name="Millares 55 2 11 4 5 4 2" xfId="9501" xr:uid="{F5103ED3-8382-414C-A9A7-0F337E18D7A1}"/>
    <cellStyle name="Millares 55 2 11 4 5 5" xfId="7209" xr:uid="{C73949AF-D7D9-4DB7-A214-FFBC9528CCEC}"/>
    <cellStyle name="Millares 55 2 11 4 6" xfId="3090" xr:uid="{9EA1F104-B49E-4288-ABF5-081B850119F3}"/>
    <cellStyle name="Millares 55 2 11 4 6 2" xfId="5514" xr:uid="{F9415081-DB8C-40B9-A3FD-903865C27939}"/>
    <cellStyle name="Millares 55 2 11 4 6 2 2" xfId="10082" xr:uid="{7B167F46-0D31-41D2-87B6-D0694FB9D192}"/>
    <cellStyle name="Millares 55 2 11 4 6 3" xfId="7790" xr:uid="{4B0B08F4-984E-415C-85CF-D2617CED0FA4}"/>
    <cellStyle name="Millares 55 2 11 4 7" xfId="3671" xr:uid="{5E0B1A3C-21D9-4B16-BA84-3CC6928F05B4}"/>
    <cellStyle name="Millares 55 2 11 4 7 2" xfId="6074" xr:uid="{1B9713DA-7C4E-4182-B261-C6474CF474E9}"/>
    <cellStyle name="Millares 55 2 11 4 7 2 2" xfId="10642" xr:uid="{81661C0F-1533-4DBC-BF24-D13712E725D5}"/>
    <cellStyle name="Millares 55 2 11 4 7 3" xfId="8350" xr:uid="{E9BFA46C-2F0E-403F-AADD-48C2E3763324}"/>
    <cellStyle name="Millares 55 2 11 4 8" xfId="2665" xr:uid="{46ADCBCD-96FB-4981-98BF-E33472D4750C}"/>
    <cellStyle name="Millares 55 2 11 4 8 2" xfId="5091" xr:uid="{18BDAAB1-D8AE-4B4C-BDA3-DB5FD35FD197}"/>
    <cellStyle name="Millares 55 2 11 4 8 2 2" xfId="9659" xr:uid="{A99DFBB1-808C-438F-919F-F78830D763C2}"/>
    <cellStyle name="Millares 55 2 11 4 8 3" xfId="7367" xr:uid="{A25C24BD-3ACD-4FF1-9083-6A1991205FE3}"/>
    <cellStyle name="Millares 55 2 11 4 9" xfId="4505" xr:uid="{ED72682E-0AC2-4A5A-AD6F-09273D8CD0A1}"/>
    <cellStyle name="Millares 55 2 11 4 9 2" xfId="9073" xr:uid="{B73277A0-0BD6-4369-B210-9CC2EE9DF30D}"/>
    <cellStyle name="Millares 55 2 11 5" xfId="2504" xr:uid="{C72B137C-D262-484C-AA42-29106CC9C4B2}"/>
    <cellStyle name="Millares 55 2 11 5 2" xfId="3883" xr:uid="{A8009893-5005-41BB-A185-05EAE61BB448}"/>
    <cellStyle name="Millares 55 2 11 5 2 2" xfId="6177" xr:uid="{70B9DCE5-7C62-4CA8-AACA-A7959EA055C8}"/>
    <cellStyle name="Millares 55 2 11 5 2 2 2" xfId="10745" xr:uid="{F3EBF739-7424-4CE0-B153-E5EAC69222DC}"/>
    <cellStyle name="Millares 55 2 11 5 2 3" xfId="8453" xr:uid="{475D2E54-9F17-4BB6-B97D-C9D658836343}"/>
    <cellStyle name="Millares 55 2 11 5 3" xfId="3515" xr:uid="{358F4982-C15C-4049-ADF8-B472EF20B2C5}"/>
    <cellStyle name="Millares 55 2 11 5 3 2" xfId="5939" xr:uid="{FDD3ADAE-DAFF-4244-9FF7-149157048635}"/>
    <cellStyle name="Millares 55 2 11 5 3 2 2" xfId="10507" xr:uid="{30D4D370-30B0-4A28-A736-3259FF14BC77}"/>
    <cellStyle name="Millares 55 2 11 5 3 3" xfId="8215" xr:uid="{DA984588-D3D1-4A1D-804A-9A97E36A3853}"/>
    <cellStyle name="Millares 55 2 11 5 4" xfId="4930" xr:uid="{0CD1A2D4-8D89-41EC-AFBD-A0156B0821EB}"/>
    <cellStyle name="Millares 55 2 11 5 4 2" xfId="9498" xr:uid="{C8D9D8D8-4145-443E-9A62-A1FA9FE237CD}"/>
    <cellStyle name="Millares 55 2 11 5 5" xfId="7206" xr:uid="{6BDDAE1D-AB13-4A97-B224-FA91E3767322}"/>
    <cellStyle name="Millares 55 2 11 6" xfId="3087" xr:uid="{8F27C782-5D41-4E0B-A964-68938F5C7739}"/>
    <cellStyle name="Millares 55 2 11 6 2" xfId="5511" xr:uid="{CB89A2E3-2B13-4A1D-9E7A-70F30C25154F}"/>
    <cellStyle name="Millares 55 2 11 6 2 2" xfId="10079" xr:uid="{857FF700-A502-49E9-B4EB-176B4DA4EB87}"/>
    <cellStyle name="Millares 55 2 11 6 3" xfId="7787" xr:uid="{23CE6FAF-B719-4B1B-ACD6-FF22FCAC581F}"/>
    <cellStyle name="Millares 55 2 11 7" xfId="3668" xr:uid="{AF0D1E8B-CE45-4A6A-A2CD-8DB5AEBBA50B}"/>
    <cellStyle name="Millares 55 2 11 7 2" xfId="6071" xr:uid="{56285DCB-1B9C-47FB-8AB2-76A7ED7930ED}"/>
    <cellStyle name="Millares 55 2 11 7 2 2" xfId="10639" xr:uid="{8CB7964D-FA97-4AD7-A258-29C92A70F758}"/>
    <cellStyle name="Millares 55 2 11 7 3" xfId="8347" xr:uid="{6FB42462-7830-4D10-B47A-B10D48B4B83B}"/>
    <cellStyle name="Millares 55 2 11 8" xfId="2664" xr:uid="{CBB923E5-1B2D-43A4-9AA9-57532B93633F}"/>
    <cellStyle name="Millares 55 2 11 8 2" xfId="5090" xr:uid="{02D22BFA-B095-402C-A3C6-148D2A57C18E}"/>
    <cellStyle name="Millares 55 2 11 8 2 2" xfId="9658" xr:uid="{8E7E7998-5498-4C41-B587-FA8D85F4481C}"/>
    <cellStyle name="Millares 55 2 11 8 3" xfId="7366" xr:uid="{B0EB0301-9A18-4910-A5A5-1B889F43C9C2}"/>
    <cellStyle name="Millares 55 2 11 9" xfId="4502" xr:uid="{A7F13FFD-D6C6-460E-A439-040054788384}"/>
    <cellStyle name="Millares 55 2 11 9 2" xfId="9070" xr:uid="{22C72003-67DC-4CC7-B5AD-3F5968A35F39}"/>
    <cellStyle name="Millares 55 2 12" xfId="2276" xr:uid="{48D4357A-879E-4042-A9EA-40F6A460E5A5}"/>
    <cellStyle name="Millares 55 2 12 2" xfId="3830" xr:uid="{F5649265-ABE0-4FC8-9A67-1C9DB72BF074}"/>
    <cellStyle name="Millares 55 2 12 2 2" xfId="6124" xr:uid="{73E94314-9384-456F-A001-06868D8FE737}"/>
    <cellStyle name="Millares 55 2 12 2 2 2" xfId="10692" xr:uid="{DCE9874A-247A-4AEC-B80A-F55E27FE2E23}"/>
    <cellStyle name="Millares 55 2 12 2 3" xfId="8400" xr:uid="{41F332C7-3179-4996-A8D5-67F58A470F5D}"/>
    <cellStyle name="Millares 55 2 12 3" xfId="3287" xr:uid="{0F5C7EF5-38A1-477F-84AC-191D31F02F4E}"/>
    <cellStyle name="Millares 55 2 12 3 2" xfId="5711" xr:uid="{893E46F0-A4E6-4EA5-98A1-9D99F6A10540}"/>
    <cellStyle name="Millares 55 2 12 3 2 2" xfId="10279" xr:uid="{02F55DEA-143B-47E4-A07A-0329B272672E}"/>
    <cellStyle name="Millares 55 2 12 3 3" xfId="7987" xr:uid="{8DBF242C-4836-4820-ACA7-79CF8216C54F}"/>
    <cellStyle name="Millares 55 2 12 4" xfId="4702" xr:uid="{E92F2CD6-B6C0-4EF2-8437-711B32219467}"/>
    <cellStyle name="Millares 55 2 12 4 2" xfId="9270" xr:uid="{E0E8FA17-977D-4BE7-9D60-C7BE377F0F23}"/>
    <cellStyle name="Millares 55 2 12 5" xfId="6978" xr:uid="{679F742D-4054-4D40-AFC2-F05D0B6C6FFA}"/>
    <cellStyle name="Millares 55 2 13" xfId="3618" xr:uid="{0041F021-831F-4B15-8AEB-04325E8AAB5D}"/>
    <cellStyle name="Millares 55 2 13 2" xfId="6022" xr:uid="{C7EF2924-ADD9-4263-ACB3-F2C3C08CFE09}"/>
    <cellStyle name="Millares 55 2 13 2 2" xfId="10590" xr:uid="{40BED74F-08F9-42E1-9DFF-C3BE3990C682}"/>
    <cellStyle name="Millares 55 2 13 3" xfId="8298" xr:uid="{ED5AA4BE-A8FD-4F2A-A340-FDC80B3AB03E}"/>
    <cellStyle name="Millares 55 2 14" xfId="2859" xr:uid="{F0AA6109-C61F-4876-99F4-3268E2C83346}"/>
    <cellStyle name="Millares 55 2 14 2" xfId="5283" xr:uid="{561A5E10-C05D-4FC0-8638-DC349520FB11}"/>
    <cellStyle name="Millares 55 2 14 2 2" xfId="9851" xr:uid="{79FB36D9-899E-41DA-B18B-23DC77E5A203}"/>
    <cellStyle name="Millares 55 2 14 3" xfId="7559" xr:uid="{20ED1A1E-4AC0-4BC5-A9E9-EC4B245C3EEC}"/>
    <cellStyle name="Millares 55 2 15" xfId="4274" xr:uid="{61F46A5F-4D57-4132-93EC-82D2B4E132B2}"/>
    <cellStyle name="Millares 55 2 15 2" xfId="8842" xr:uid="{2A763E5F-2A3D-4917-828C-0DC6B3824940}"/>
    <cellStyle name="Millares 55 2 16" xfId="6550" xr:uid="{B07DB6F0-A7A1-4F6C-873F-9374AEE3CE33}"/>
    <cellStyle name="Millares 55 2 17" xfId="1631" xr:uid="{93BCFDF1-F475-4140-8AEE-B20FD335FEA9}"/>
    <cellStyle name="Millares 55 2 2" xfId="1023" xr:uid="{00000000-0005-0000-0000-00009A020000}"/>
    <cellStyle name="Millares 55 2 2 2" xfId="1928" xr:uid="{2FAF5715-4E04-4377-93A5-753A1F0BDF5F}"/>
    <cellStyle name="Millares 55 2 2 2 2" xfId="2470" xr:uid="{9FDFF8B7-A983-43A6-8486-9354D983F0E8}"/>
    <cellStyle name="Millares 55 2 2 2 2 2" xfId="3866" xr:uid="{027ACF56-E2CA-42DC-A90D-179D3EA40F36}"/>
    <cellStyle name="Millares 55 2 2 2 2 2 2" xfId="6160" xr:uid="{341F84FD-A354-4855-AE6C-3707781EB157}"/>
    <cellStyle name="Millares 55 2 2 2 2 2 2 2" xfId="10728" xr:uid="{B225CCBB-A324-45B1-BC0F-361E1F91B555}"/>
    <cellStyle name="Millares 55 2 2 2 2 2 3" xfId="8436" xr:uid="{DADF43DA-A15A-461F-B673-0A5BAB7877A4}"/>
    <cellStyle name="Millares 55 2 2 2 2 3" xfId="3481" xr:uid="{B5D4E584-E65E-4AE0-B178-1C2CC86D909A}"/>
    <cellStyle name="Millares 55 2 2 2 2 3 2" xfId="5905" xr:uid="{3E0DA316-1077-488A-839E-4402DBCC9FD9}"/>
    <cellStyle name="Millares 55 2 2 2 2 3 2 2" xfId="10473" xr:uid="{D19E8BB0-E874-4852-8DB8-8349E8F1692F}"/>
    <cellStyle name="Millares 55 2 2 2 2 3 3" xfId="8181" xr:uid="{08BC4347-744B-4B88-B7A6-0DA993C91311}"/>
    <cellStyle name="Millares 55 2 2 2 2 4" xfId="4896" xr:uid="{169FE87A-3418-4AD0-B005-64DB9FAE0DF0}"/>
    <cellStyle name="Millares 55 2 2 2 2 4 2" xfId="9464" xr:uid="{CCB15F42-3E6B-466A-9DCC-15882313CAC7}"/>
    <cellStyle name="Millares 55 2 2 2 2 5" xfId="7172" xr:uid="{4AD8878B-EDC9-4C87-A9A9-C27CD2710687}"/>
    <cellStyle name="Millares 55 2 2 2 3" xfId="3652" xr:uid="{541D2FC8-7809-4CFA-B68A-0AA7C9C4EB2B}"/>
    <cellStyle name="Millares 55 2 2 2 3 2" xfId="6056" xr:uid="{A9C91343-76DB-43E3-A8D2-BCC474824542}"/>
    <cellStyle name="Millares 55 2 2 2 3 2 2" xfId="10624" xr:uid="{6FCBA1C2-3390-4168-8568-1515CA957589}"/>
    <cellStyle name="Millares 55 2 2 2 3 3" xfId="8332" xr:uid="{CB4218A7-5670-4449-9C3D-4492F4984BF2}"/>
    <cellStyle name="Millares 55 2 2 2 4" xfId="3053" xr:uid="{B5E5584B-3814-422E-A42D-8DB02C324D53}"/>
    <cellStyle name="Millares 55 2 2 2 4 2" xfId="5477" xr:uid="{24BF6FDF-B3B4-4537-AEB7-77410E7503EC}"/>
    <cellStyle name="Millares 55 2 2 2 4 2 2" xfId="10045" xr:uid="{CF35BFCE-1ED9-4054-A76F-FB53B52172A7}"/>
    <cellStyle name="Millares 55 2 2 2 4 3" xfId="7753" xr:uid="{C6F07FB1-200F-4F01-9B63-90E794FF0AF3}"/>
    <cellStyle name="Millares 55 2 2 2 5" xfId="4468" xr:uid="{08D9A6F0-C349-49E5-B3AD-643345B03C9F}"/>
    <cellStyle name="Millares 55 2 2 2 5 2" xfId="9036" xr:uid="{291DB190-C812-49C0-9E76-6C3E7F25D65B}"/>
    <cellStyle name="Millares 55 2 2 2 6" xfId="6744" xr:uid="{D46D8A59-3F38-44F8-B1BE-BEED5A1E6D84}"/>
    <cellStyle name="Millares 55 2 2 3" xfId="2283" xr:uid="{9AF38B75-F024-415D-BA6D-E18FCCFB20F7}"/>
    <cellStyle name="Millares 55 2 2 3 2" xfId="3834" xr:uid="{F43157A2-8F7C-4FD5-AE59-DFD2C247720E}"/>
    <cellStyle name="Millares 55 2 2 3 2 2" xfId="6128" xr:uid="{CCCF5DF8-31F2-4514-8532-B08B4E90CFC4}"/>
    <cellStyle name="Millares 55 2 2 3 2 2 2" xfId="10696" xr:uid="{E58FE23B-E33E-4AD3-A987-5D875D2E66CC}"/>
    <cellStyle name="Millares 55 2 2 3 2 3" xfId="8404" xr:uid="{7A31684A-744F-403A-A659-7A3B04A4B091}"/>
    <cellStyle name="Millares 55 2 2 3 3" xfId="3294" xr:uid="{F1A408A3-F74C-4CB2-AF16-8F1B09F5A01F}"/>
    <cellStyle name="Millares 55 2 2 3 3 2" xfId="5718" xr:uid="{30A3F674-9F5E-4259-9E8D-743A24723D76}"/>
    <cellStyle name="Millares 55 2 2 3 3 2 2" xfId="10286" xr:uid="{A99EECAC-2744-433A-BCA4-04E1138B25E4}"/>
    <cellStyle name="Millares 55 2 2 3 3 3" xfId="7994" xr:uid="{A0583B1B-D382-4773-8757-5C6A19874635}"/>
    <cellStyle name="Millares 55 2 2 3 4" xfId="4709" xr:uid="{34AB458D-B2CF-49BD-8171-F764403F032F}"/>
    <cellStyle name="Millares 55 2 2 3 4 2" xfId="9277" xr:uid="{6C126769-4856-474A-B609-29B8EAC8EABD}"/>
    <cellStyle name="Millares 55 2 2 3 5" xfId="6985" xr:uid="{C825E56D-7A0E-4023-87CC-93717276D85A}"/>
    <cellStyle name="Millares 55 2 2 4" xfId="3621" xr:uid="{A09EDDE0-57CF-4E35-B7B7-8E1D54F37761}"/>
    <cellStyle name="Millares 55 2 2 4 2" xfId="6025" xr:uid="{B38BEDD1-7D18-48E9-810A-6B37BDC447FD}"/>
    <cellStyle name="Millares 55 2 2 4 2 2" xfId="10593" xr:uid="{78A04C15-80A7-45F6-A965-0A32DB18836F}"/>
    <cellStyle name="Millares 55 2 2 4 3" xfId="8301" xr:uid="{E817F0E1-FDDA-4CF5-A6FA-9B2FAE82DF04}"/>
    <cellStyle name="Millares 55 2 2 5" xfId="2866" xr:uid="{02BFA082-0F40-439B-87D4-0908A6D295ED}"/>
    <cellStyle name="Millares 55 2 2 5 2" xfId="5290" xr:uid="{68841D76-95F7-4ECB-9B4E-EF2045DF0C99}"/>
    <cellStyle name="Millares 55 2 2 5 2 2" xfId="9858" xr:uid="{9BBE28AF-F19C-47C4-AEAB-8E9DFB565FE4}"/>
    <cellStyle name="Millares 55 2 2 5 3" xfId="7566" xr:uid="{9D42D24F-F627-4B8F-87E1-FDADD654D872}"/>
    <cellStyle name="Millares 55 2 2 6" xfId="4281" xr:uid="{1137E443-0FD7-493D-92F7-AEA217AD0757}"/>
    <cellStyle name="Millares 55 2 2 6 2" xfId="8849" xr:uid="{8D0AFC74-4C5B-4E98-9533-77A974DD777B}"/>
    <cellStyle name="Millares 55 2 2 7" xfId="6557" xr:uid="{ED603D5C-511B-40EC-8084-88F6D49829E0}"/>
    <cellStyle name="Millares 55 2 2 8" xfId="1638" xr:uid="{167597F4-4A60-4E6B-B84A-7E7E3DF6A337}"/>
    <cellStyle name="Millares 55 2 3" xfId="1038" xr:uid="{00000000-0005-0000-0000-00009B020000}"/>
    <cellStyle name="Millares 55 2 3 2" xfId="1934" xr:uid="{238974E3-AAF9-4AEE-BA52-464B8F7E9CDA}"/>
    <cellStyle name="Millares 55 2 3 2 2" xfId="2476" xr:uid="{FE08E67E-DF72-4AC8-B697-B6B18BEEDF37}"/>
    <cellStyle name="Millares 55 2 3 2 2 2" xfId="3870" xr:uid="{2B0EDD6C-14F6-468B-AF4A-E4333CA360FE}"/>
    <cellStyle name="Millares 55 2 3 2 2 2 2" xfId="6164" xr:uid="{E201DB8E-B91A-40C2-A029-A0EEE557AF64}"/>
    <cellStyle name="Millares 55 2 3 2 2 2 2 2" xfId="10732" xr:uid="{53B6B4C6-46FF-4D5A-8861-2B167CD10256}"/>
    <cellStyle name="Millares 55 2 3 2 2 2 3" xfId="8440" xr:uid="{0E7F657D-EF76-41A9-9A53-B17C7B26AB2B}"/>
    <cellStyle name="Millares 55 2 3 2 2 3" xfId="3487" xr:uid="{A4AFC104-2474-48A9-B598-B5A5B6CD154C}"/>
    <cellStyle name="Millares 55 2 3 2 2 3 2" xfId="5911" xr:uid="{EF6A2660-B0A3-422F-AD52-4675B52BEF9E}"/>
    <cellStyle name="Millares 55 2 3 2 2 3 2 2" xfId="10479" xr:uid="{83D2A7DD-5717-4883-81B7-940DD15371CB}"/>
    <cellStyle name="Millares 55 2 3 2 2 3 3" xfId="8187" xr:uid="{173C5AFC-0D4B-44F2-90C8-5E9EBCC59CEB}"/>
    <cellStyle name="Millares 55 2 3 2 2 4" xfId="4902" xr:uid="{6EDF1B72-5425-456E-A73D-FFFF315389C7}"/>
    <cellStyle name="Millares 55 2 3 2 2 4 2" xfId="9470" xr:uid="{647EDC2D-8466-4759-8CE8-B14C974C0E40}"/>
    <cellStyle name="Millares 55 2 3 2 2 5" xfId="7178" xr:uid="{F1DFD7C5-FBA2-4EA5-9882-2069650DD30D}"/>
    <cellStyle name="Millares 55 2 3 2 3" xfId="3657" xr:uid="{3250AFE6-9BE0-4E93-BE7E-868C7DBA8DA2}"/>
    <cellStyle name="Millares 55 2 3 2 3 2" xfId="6060" xr:uid="{BB8C5813-D1D6-44FB-9260-43B5D2BD7DB4}"/>
    <cellStyle name="Millares 55 2 3 2 3 2 2" xfId="10628" xr:uid="{3F7DF996-7EEB-4238-9B67-2976856F5281}"/>
    <cellStyle name="Millares 55 2 3 2 3 3" xfId="8336" xr:uid="{63339FD5-ACDB-4E4E-A883-15FEA531AAB2}"/>
    <cellStyle name="Millares 55 2 3 2 4" xfId="3059" xr:uid="{1B1562E9-24FD-45DC-BEE4-9CEF4D3BBFAA}"/>
    <cellStyle name="Millares 55 2 3 2 4 2" xfId="5483" xr:uid="{1E6C00F1-9B2B-4AC6-A82A-C4D429ADFB3C}"/>
    <cellStyle name="Millares 55 2 3 2 4 2 2" xfId="10051" xr:uid="{CA6D0195-3597-4305-8300-E47A938F0E64}"/>
    <cellStyle name="Millares 55 2 3 2 4 3" xfId="7759" xr:uid="{8D7CC27C-06A1-44AD-B1BA-759D201DDC37}"/>
    <cellStyle name="Millares 55 2 3 2 5" xfId="4474" xr:uid="{F3C3010E-4945-48EB-8947-761F51BA5902}"/>
    <cellStyle name="Millares 55 2 3 2 5 2" xfId="9042" xr:uid="{DA526B44-EC9F-41C9-8DBB-34360760F46E}"/>
    <cellStyle name="Millares 55 2 3 2 6" xfId="6750" xr:uid="{97960D37-EE21-45A6-B3D9-87C006B805B2}"/>
    <cellStyle name="Millares 55 2 3 3" xfId="2289" xr:uid="{DA22A245-3034-467D-9029-3C3F54CCD664}"/>
    <cellStyle name="Millares 55 2 3 3 2" xfId="3839" xr:uid="{9B271AAC-C096-4010-9EE0-99398714B283}"/>
    <cellStyle name="Millares 55 2 3 3 2 2" xfId="6133" xr:uid="{C065D7DA-F7B6-4522-A3AE-2F3ECEA4DC09}"/>
    <cellStyle name="Millares 55 2 3 3 2 2 2" xfId="10701" xr:uid="{26605502-7AA9-4302-9EC3-F79EF1B24532}"/>
    <cellStyle name="Millares 55 2 3 3 2 3" xfId="8409" xr:uid="{A4DE4BC1-C0C6-4287-86F1-2D465481D1E4}"/>
    <cellStyle name="Millares 55 2 3 3 3" xfId="3300" xr:uid="{BC64C7DB-BD34-415F-85DE-FBC27DF98EBF}"/>
    <cellStyle name="Millares 55 2 3 3 3 2" xfId="5724" xr:uid="{AD854733-E826-4982-8F9C-8632C12DF1BD}"/>
    <cellStyle name="Millares 55 2 3 3 3 2 2" xfId="10292" xr:uid="{F88AA6F6-7F7B-4A0B-8CBE-CCCE5D4E09B4}"/>
    <cellStyle name="Millares 55 2 3 3 3 3" xfId="8000" xr:uid="{00295072-68B2-4F58-8727-A49074052E02}"/>
    <cellStyle name="Millares 55 2 3 3 4" xfId="4715" xr:uid="{E09E1DCF-C5FA-457E-89BF-6BC9E7EB0230}"/>
    <cellStyle name="Millares 55 2 3 3 4 2" xfId="9283" xr:uid="{70D2CD9E-1128-45CB-A2B1-992EE0989601}"/>
    <cellStyle name="Millares 55 2 3 3 5" xfId="6991" xr:uid="{46903CEE-961C-4991-8666-569F8C6D8CFC}"/>
    <cellStyle name="Millares 55 2 3 4" xfId="3625" xr:uid="{10F01835-7333-4E2B-85FB-317BD2A9F483}"/>
    <cellStyle name="Millares 55 2 3 4 2" xfId="6029" xr:uid="{6DD72EC2-89EC-455E-BD99-969E50E780C0}"/>
    <cellStyle name="Millares 55 2 3 4 2 2" xfId="10597" xr:uid="{EE5A741A-6B37-4785-B67D-8E0EE161B053}"/>
    <cellStyle name="Millares 55 2 3 4 3" xfId="8305" xr:uid="{963AA9EC-41AF-4E15-BB7E-FA6E615EC318}"/>
    <cellStyle name="Millares 55 2 3 5" xfId="2872" xr:uid="{5CA1B8C9-A58F-4879-9C1A-21C7739B44D9}"/>
    <cellStyle name="Millares 55 2 3 5 2" xfId="5296" xr:uid="{9D2EADD9-E49E-4857-9A8F-DA5F80CFD025}"/>
    <cellStyle name="Millares 55 2 3 5 2 2" xfId="9864" xr:uid="{BC602390-3BDD-478C-BC28-2D732B4DF4C8}"/>
    <cellStyle name="Millares 55 2 3 5 3" xfId="7572" xr:uid="{D355881F-B6A7-4B65-8B08-46A00F8556E4}"/>
    <cellStyle name="Millares 55 2 3 6" xfId="4287" xr:uid="{86846BC7-4656-4AC4-A36E-47E53057EFD8}"/>
    <cellStyle name="Millares 55 2 3 6 2" xfId="8855" xr:uid="{91EADEF1-F710-4ACD-B82B-7D1AA14E8225}"/>
    <cellStyle name="Millares 55 2 3 7" xfId="6563" xr:uid="{A77883A7-5BEA-4E8F-B522-FF66C21B8274}"/>
    <cellStyle name="Millares 55 2 3 8" xfId="1644" xr:uid="{8B6B9C7D-D83C-424F-B26C-664B384143C8}"/>
    <cellStyle name="Millares 55 2 4" xfId="1921" xr:uid="{1235E2B0-537A-4885-9421-3F67CF9A042C}"/>
    <cellStyle name="Millares 55 2 4 2" xfId="2463" xr:uid="{E447AF45-0DC6-40F5-93CA-FC69E9634AB4}"/>
    <cellStyle name="Millares 55 2 4 2 2" xfId="3863" xr:uid="{88C5747C-D2B6-4CBE-AD12-A14B2630CDF5}"/>
    <cellStyle name="Millares 55 2 4 2 2 2" xfId="6157" xr:uid="{21541379-8900-4F37-B613-A4FFBA4CC866}"/>
    <cellStyle name="Millares 55 2 4 2 2 2 2" xfId="10725" xr:uid="{9A18DDB2-2EA4-4623-A314-201D4FA65A1A}"/>
    <cellStyle name="Millares 55 2 4 2 2 3" xfId="8433" xr:uid="{68D526D4-F541-4A88-ADE7-36D776673485}"/>
    <cellStyle name="Millares 55 2 4 2 3" xfId="3474" xr:uid="{BBEEF3FC-3AE9-4474-8794-20007532FD6D}"/>
    <cellStyle name="Millares 55 2 4 2 3 2" xfId="5898" xr:uid="{CE86621A-8F6D-4670-9A04-5814CA136B03}"/>
    <cellStyle name="Millares 55 2 4 2 3 2 2" xfId="10466" xr:uid="{42958023-B744-4FFE-B989-03624A2D7154}"/>
    <cellStyle name="Millares 55 2 4 2 3 3" xfId="8174" xr:uid="{AA56FE2B-7BEA-411F-8F02-AEE7E486D5FA}"/>
    <cellStyle name="Millares 55 2 4 2 4" xfId="4889" xr:uid="{E32722FB-D6F1-42A7-A0C8-95B50F02CC19}"/>
    <cellStyle name="Millares 55 2 4 2 4 2" xfId="9457" xr:uid="{7DE671A3-8586-4FEF-94B2-0163FC661325}"/>
    <cellStyle name="Millares 55 2 4 2 5" xfId="7165" xr:uid="{0BD9A1CD-8B31-48A9-802B-30CA33E2C13F}"/>
    <cellStyle name="Millares 55 2 4 3" xfId="3649" xr:uid="{7E315505-67DA-421C-A8B6-5450F163714E}"/>
    <cellStyle name="Millares 55 2 4 3 2" xfId="6053" xr:uid="{EC4C083E-2823-4925-A483-48B9F2C0D6BD}"/>
    <cellStyle name="Millares 55 2 4 3 2 2" xfId="10621" xr:uid="{19F71133-3AFB-45D1-BD3F-5257C10DA9B7}"/>
    <cellStyle name="Millares 55 2 4 3 3" xfId="8329" xr:uid="{73B8692F-0B6A-401B-A0B8-DDC313B421EC}"/>
    <cellStyle name="Millares 55 2 4 4" xfId="3046" xr:uid="{E8E6B5DC-5572-4E9E-8D76-F9209B7D7EEB}"/>
    <cellStyle name="Millares 55 2 4 4 2" xfId="5470" xr:uid="{F2498FE4-D416-444D-9FDE-13AC91C8F9AA}"/>
    <cellStyle name="Millares 55 2 4 4 2 2" xfId="10038" xr:uid="{7B396407-2617-42B8-981C-CD226D1C7B4A}"/>
    <cellStyle name="Millares 55 2 4 4 3" xfId="7746" xr:uid="{1972ED70-9557-4724-AC43-4C6CF232443D}"/>
    <cellStyle name="Millares 55 2 4 5" xfId="4461" xr:uid="{1ED3C77D-4415-42C4-A635-B136F0E759D3}"/>
    <cellStyle name="Millares 55 2 4 5 2" xfId="9029" xr:uid="{9B0F6A53-3CCC-4FA4-BAB1-C87030A4707B}"/>
    <cellStyle name="Millares 55 2 4 6" xfId="6737" xr:uid="{CB55CEB7-0704-4DB5-8AA3-6CD9C2EE44BF}"/>
    <cellStyle name="Millares 55 2 5" xfId="1944" xr:uid="{83A2C846-700F-4719-AD3A-45D3D110BBD7}"/>
    <cellStyle name="Millares 55 2 5 2" xfId="2483" xr:uid="{61EC9CBD-F27A-43A7-9BCF-C96638545715}"/>
    <cellStyle name="Millares 55 2 5 2 2" xfId="3874" xr:uid="{F4E2A868-8DF2-4748-BBC8-9958CD4C9D67}"/>
    <cellStyle name="Millares 55 2 5 2 2 2" xfId="6168" xr:uid="{1E64A6DB-B2A7-4B62-AD6A-52CAAF5D68B7}"/>
    <cellStyle name="Millares 55 2 5 2 2 2 2" xfId="10736" xr:uid="{22C1A7DC-64B9-4490-842E-0C80D2D5DCEF}"/>
    <cellStyle name="Millares 55 2 5 2 2 3" xfId="8444" xr:uid="{B453531E-10DF-4C4C-9A80-A7A5D0BA5C21}"/>
    <cellStyle name="Millares 55 2 5 2 3" xfId="3494" xr:uid="{A8EB68BF-C22D-4AFF-839B-7DEF84FEFD4F}"/>
    <cellStyle name="Millares 55 2 5 2 3 2" xfId="5918" xr:uid="{BB17187A-3F9A-42ED-85D5-5DA997B66260}"/>
    <cellStyle name="Millares 55 2 5 2 3 2 2" xfId="10486" xr:uid="{A02D280C-972F-4C22-AE2B-E7D5FBC07412}"/>
    <cellStyle name="Millares 55 2 5 2 3 3" xfId="8194" xr:uid="{468CE62B-2DE9-495B-9B72-8B9CE16067B5}"/>
    <cellStyle name="Millares 55 2 5 2 4" xfId="4909" xr:uid="{995553E5-EB61-472B-B82E-31EF02BCDB3A}"/>
    <cellStyle name="Millares 55 2 5 2 4 2" xfId="9477" xr:uid="{1F91B5DA-DAB1-48F5-BDA2-FC0A69826963}"/>
    <cellStyle name="Millares 55 2 5 2 5" xfId="7185" xr:uid="{0A60D06C-836A-4079-BBA3-5BC8D1026B52}"/>
    <cellStyle name="Millares 55 2 5 3" xfId="3659" xr:uid="{344131D3-E48B-42CC-A013-1F3B318B5F56}"/>
    <cellStyle name="Millares 55 2 5 3 2" xfId="6062" xr:uid="{9D40F9F2-8D1F-4733-AF20-4B5C68D47C63}"/>
    <cellStyle name="Millares 55 2 5 3 2 2" xfId="10630" xr:uid="{22984CD7-C552-467F-9ACB-D2C3BBDC26E5}"/>
    <cellStyle name="Millares 55 2 5 3 3" xfId="8338" xr:uid="{DFF6B510-8DE0-4031-98C3-3666FD8A5E53}"/>
    <cellStyle name="Millares 55 2 5 4" xfId="3066" xr:uid="{142F2B4A-D17E-4E25-A8EA-E82AFBC9A80B}"/>
    <cellStyle name="Millares 55 2 5 4 2" xfId="5490" xr:uid="{8CB69A7D-B433-470A-BF4B-2B8906925CDC}"/>
    <cellStyle name="Millares 55 2 5 4 2 2" xfId="10058" xr:uid="{9FA2A93F-9382-433C-BC1C-5E540788144E}"/>
    <cellStyle name="Millares 55 2 5 4 3" xfId="7766" xr:uid="{BBC3E515-014A-4C4B-BD9A-970FD7C498BD}"/>
    <cellStyle name="Millares 55 2 5 5" xfId="4481" xr:uid="{C9EBCFA4-4402-46BE-9FA4-A30BCC9B524B}"/>
    <cellStyle name="Millares 55 2 5 5 2" xfId="9049" xr:uid="{88F729D8-02BB-4644-B796-3A1C14CD199C}"/>
    <cellStyle name="Millares 55 2 5 6" xfId="6757" xr:uid="{B90EDB09-5727-4B12-A879-F9B2CBAE8CE7}"/>
    <cellStyle name="Millares 55 2 6" xfId="1950" xr:uid="{BAE4360B-1EE7-4D1F-8C53-7085A746788F}"/>
    <cellStyle name="Millares 55 2 6 2" xfId="2488" xr:uid="{504C2916-16B8-44C4-B0A5-4730E8E080DF}"/>
    <cellStyle name="Millares 55 2 6 2 2" xfId="3876" xr:uid="{A8C68328-E27E-4082-9EB4-C49D29D24395}"/>
    <cellStyle name="Millares 55 2 6 2 2 2" xfId="6170" xr:uid="{7E44B30E-059A-4707-B615-64742ADC4370}"/>
    <cellStyle name="Millares 55 2 6 2 2 2 2" xfId="10738" xr:uid="{793EDF0B-ABEB-4BAC-8342-3804ACE2D000}"/>
    <cellStyle name="Millares 55 2 6 2 2 3" xfId="8446" xr:uid="{FDB002CB-8390-405A-B04F-497BFAD788BE}"/>
    <cellStyle name="Millares 55 2 6 2 3" xfId="3499" xr:uid="{E0B67DA7-656A-40F3-82AC-93565245BCDC}"/>
    <cellStyle name="Millares 55 2 6 2 3 2" xfId="5923" xr:uid="{B4768579-9D65-42F0-AA95-26DDA673EEB8}"/>
    <cellStyle name="Millares 55 2 6 2 3 2 2" xfId="10491" xr:uid="{991CD828-47E1-49B3-88DB-D817B2B8BB1E}"/>
    <cellStyle name="Millares 55 2 6 2 3 3" xfId="8199" xr:uid="{2883658E-FE1B-46C3-8A1E-64DDB7485A34}"/>
    <cellStyle name="Millares 55 2 6 2 4" xfId="4914" xr:uid="{7239473A-306B-44AD-905B-556F15F7016F}"/>
    <cellStyle name="Millares 55 2 6 2 4 2" xfId="9482" xr:uid="{EA6510A8-044E-44E5-9654-2467CCC88C63}"/>
    <cellStyle name="Millares 55 2 6 2 5" xfId="7190" xr:uid="{92197219-5CFD-40FD-A154-D000F6D28FDB}"/>
    <cellStyle name="Millares 55 2 6 3" xfId="3661" xr:uid="{CE155492-65FE-4A3E-B2F7-0344D4D2F3B9}"/>
    <cellStyle name="Millares 55 2 6 3 2" xfId="6064" xr:uid="{BFB13FCD-98A6-4C5A-929E-946247F423CA}"/>
    <cellStyle name="Millares 55 2 6 3 2 2" xfId="10632" xr:uid="{302079D1-3536-4D52-9498-B3921841E797}"/>
    <cellStyle name="Millares 55 2 6 3 3" xfId="8340" xr:uid="{EC30DB84-AA12-4B43-B78C-A1AA31749266}"/>
    <cellStyle name="Millares 55 2 6 4" xfId="3071" xr:uid="{21F151F6-66F3-43D9-8D5C-C468CA96632B}"/>
    <cellStyle name="Millares 55 2 6 4 2" xfId="5495" xr:uid="{6FA03869-1DA0-44E6-98DF-133147D2D432}"/>
    <cellStyle name="Millares 55 2 6 4 2 2" xfId="10063" xr:uid="{CDEDFF05-501D-45D0-B2E1-0650417AE978}"/>
    <cellStyle name="Millares 55 2 6 4 3" xfId="7771" xr:uid="{0BA006BA-CF3E-4627-9FC5-E77415095299}"/>
    <cellStyle name="Millares 55 2 6 5" xfId="4486" xr:uid="{80BA7C35-21AC-4F9A-A05A-81ECF262244B}"/>
    <cellStyle name="Millares 55 2 6 5 2" xfId="9054" xr:uid="{D54ADB7A-690C-471A-A434-6FA6C8C0323D}"/>
    <cellStyle name="Millares 55 2 6 6" xfId="6762" xr:uid="{1247C5C9-A11F-42B4-BAF5-5EFD0BEC6939}"/>
    <cellStyle name="Millares 55 2 7" xfId="1952" xr:uid="{DBF10FAA-6DD5-4F92-A41B-4284EFE44CF4}"/>
    <cellStyle name="Millares 55 2 7 2" xfId="2490" xr:uid="{9D8780AC-65FC-46D2-B218-891E55AF6DFA}"/>
    <cellStyle name="Millares 55 2 7 2 2" xfId="3877" xr:uid="{1FBC3ED5-1A44-489E-B24B-EDBBCB232579}"/>
    <cellStyle name="Millares 55 2 7 2 2 2" xfId="6171" xr:uid="{6B1ED596-AE3D-4D37-B434-E5331796C445}"/>
    <cellStyle name="Millares 55 2 7 2 2 2 2" xfId="10739" xr:uid="{67B305A0-3B1B-487C-9F55-A4A012263586}"/>
    <cellStyle name="Millares 55 2 7 2 2 3" xfId="8447" xr:uid="{0E0C7EE6-03E4-4BA6-821A-C5B7500ADF76}"/>
    <cellStyle name="Millares 55 2 7 2 3" xfId="3501" xr:uid="{AD5DEA21-2FDF-4C9B-82AB-3EA1A4B003C3}"/>
    <cellStyle name="Millares 55 2 7 2 3 2" xfId="5925" xr:uid="{02114144-79E2-4F71-A4C1-0F01A4CC27F2}"/>
    <cellStyle name="Millares 55 2 7 2 3 2 2" xfId="10493" xr:uid="{E06178DA-8336-4D9A-B27E-F95220B2BB7F}"/>
    <cellStyle name="Millares 55 2 7 2 3 3" xfId="8201" xr:uid="{B56214F6-4B49-4D43-B918-17345A7D9022}"/>
    <cellStyle name="Millares 55 2 7 2 4" xfId="4916" xr:uid="{318CCDCC-E351-44AE-B56D-5C94E6E8E700}"/>
    <cellStyle name="Millares 55 2 7 2 4 2" xfId="9484" xr:uid="{8AE7AE4D-FD42-4C14-963B-DA05CD7FEA3E}"/>
    <cellStyle name="Millares 55 2 7 2 5" xfId="7192" xr:uid="{258B7C2B-B8D7-47E7-AB23-F15800AEB6F3}"/>
    <cellStyle name="Millares 55 2 7 3" xfId="3662" xr:uid="{9E393934-7FD6-4DEB-8D5D-FF7D756E3AF7}"/>
    <cellStyle name="Millares 55 2 7 3 2" xfId="6065" xr:uid="{EC50BA9C-ED07-4250-9500-941CF76E30DE}"/>
    <cellStyle name="Millares 55 2 7 3 2 2" xfId="10633" xr:uid="{509D2E52-286E-4ACD-AFA6-7DD27F142220}"/>
    <cellStyle name="Millares 55 2 7 3 3" xfId="8341" xr:uid="{0DB6AAE9-A02F-42D4-A4AB-B516C2E3062F}"/>
    <cellStyle name="Millares 55 2 7 4" xfId="3073" xr:uid="{294D82FA-9E96-45CC-97BA-2F0C1B315491}"/>
    <cellStyle name="Millares 55 2 7 4 2" xfId="5497" xr:uid="{533DFF49-F390-49BF-AF84-F82031563CB1}"/>
    <cellStyle name="Millares 55 2 7 4 2 2" xfId="10065" xr:uid="{AEA0501E-3935-484E-8ACF-21966FD72969}"/>
    <cellStyle name="Millares 55 2 7 4 3" xfId="7773" xr:uid="{BE4303EF-B790-42A4-BCE3-E8EFAAE9AC00}"/>
    <cellStyle name="Millares 55 2 7 5" xfId="4488" xr:uid="{39C8FA11-5760-4372-8237-213EF1A0F1E8}"/>
    <cellStyle name="Millares 55 2 7 5 2" xfId="9056" xr:uid="{A0CE43D3-1467-40E8-B5A8-362CCE8893C0}"/>
    <cellStyle name="Millares 55 2 7 6" xfId="6764" xr:uid="{A2167E5E-F842-4486-9C16-A4CFD6D59492}"/>
    <cellStyle name="Millares 55 2 8" xfId="1956" xr:uid="{DDD786F8-5DED-4612-96DF-472D4176CE15}"/>
    <cellStyle name="Millares 55 2 8 2" xfId="2493" xr:uid="{96F7064F-2BF4-469B-96A6-D03E2AD05CF3}"/>
    <cellStyle name="Millares 55 2 8 2 2" xfId="3878" xr:uid="{99E15B05-1EC5-46FF-92EC-33DAAF4FDEDF}"/>
    <cellStyle name="Millares 55 2 8 2 2 2" xfId="6172" xr:uid="{3E2A344B-15CF-45FF-8FB2-A0BE06AC4D09}"/>
    <cellStyle name="Millares 55 2 8 2 2 2 2" xfId="10740" xr:uid="{EF0249D0-1090-4BA2-B893-038DCB5824A6}"/>
    <cellStyle name="Millares 55 2 8 2 2 3" xfId="8448" xr:uid="{8AFB0AE1-248A-469B-9F02-561E0B16DDC1}"/>
    <cellStyle name="Millares 55 2 8 2 3" xfId="3504" xr:uid="{AA40C231-7A79-4486-B708-24F3DD766BF7}"/>
    <cellStyle name="Millares 55 2 8 2 3 2" xfId="5928" xr:uid="{D9095D34-E275-4656-9ADB-506D98C49F5F}"/>
    <cellStyle name="Millares 55 2 8 2 3 2 2" xfId="10496" xr:uid="{6F7B3038-D4CF-4B41-8E2B-CB99AF5BAA30}"/>
    <cellStyle name="Millares 55 2 8 2 3 3" xfId="8204" xr:uid="{855358C8-086C-431E-965E-FB0831F032B9}"/>
    <cellStyle name="Millares 55 2 8 2 4" xfId="4919" xr:uid="{D76FB0E0-8D66-419A-866C-AC3F1A1B371A}"/>
    <cellStyle name="Millares 55 2 8 2 4 2" xfId="9487" xr:uid="{07094C02-65E8-4570-8BF0-CAD2012C650C}"/>
    <cellStyle name="Millares 55 2 8 2 5" xfId="7195" xr:uid="{F8B14566-1DDC-4E3F-ACEA-B0C08CA613F0}"/>
    <cellStyle name="Millares 55 2 8 3" xfId="3663" xr:uid="{38C59A21-C188-4E59-9C1A-54087E2254E0}"/>
    <cellStyle name="Millares 55 2 8 3 2" xfId="6066" xr:uid="{C707E4AA-FA8F-4C0C-8050-9F530E9FDF16}"/>
    <cellStyle name="Millares 55 2 8 3 2 2" xfId="10634" xr:uid="{3C137C06-AD2F-4E83-973C-4E7ED1F21FC3}"/>
    <cellStyle name="Millares 55 2 8 3 3" xfId="8342" xr:uid="{64D30295-BFBD-432A-BC7A-DFDD01C349CD}"/>
    <cellStyle name="Millares 55 2 8 4" xfId="3076" xr:uid="{9461900B-6842-4559-BF09-4AC09E06756D}"/>
    <cellStyle name="Millares 55 2 8 4 2" xfId="5500" xr:uid="{1DD52C56-35C6-4BE8-A612-EBE782B5E551}"/>
    <cellStyle name="Millares 55 2 8 4 2 2" xfId="10068" xr:uid="{EB4729EC-34A0-46F2-A0B3-E637725E4C5F}"/>
    <cellStyle name="Millares 55 2 8 4 3" xfId="7776" xr:uid="{A7D80AF2-C9CF-45F0-81B1-87598E631D6C}"/>
    <cellStyle name="Millares 55 2 8 5" xfId="4491" xr:uid="{10462D70-C6C6-4F58-B946-4C78E901D359}"/>
    <cellStyle name="Millares 55 2 8 5 2" xfId="9059" xr:uid="{DA9E14B9-FC22-44A9-B59F-BF9327A5EDC8}"/>
    <cellStyle name="Millares 55 2 8 6" xfId="6767" xr:uid="{C6AA4165-BE90-44D4-952C-5537BC0F4E43}"/>
    <cellStyle name="Millares 55 2 9" xfId="1964" xr:uid="{5990C2DF-3590-4EFA-AD49-460E6D7EA342}"/>
    <cellStyle name="Millares 55 2 9 2" xfId="2501" xr:uid="{E40CB39D-E638-4445-B4D8-91CB186B8068}"/>
    <cellStyle name="Millares 55 2 9 2 2" xfId="3881" xr:uid="{C3E6C33A-C8CD-4CA8-8557-23D751843F68}"/>
    <cellStyle name="Millares 55 2 9 2 2 2" xfId="6175" xr:uid="{3D80E2E2-BDF8-49D9-B862-1AD15493BF5B}"/>
    <cellStyle name="Millares 55 2 9 2 2 2 2" xfId="10743" xr:uid="{714D9E66-7A0E-4DE3-88AE-43BE92320BD7}"/>
    <cellStyle name="Millares 55 2 9 2 2 3" xfId="8451" xr:uid="{66F2DCB3-40F6-4EC2-8933-4935688D178B}"/>
    <cellStyle name="Millares 55 2 9 2 3" xfId="3512" xr:uid="{7E8CF9C8-1F11-464D-B096-DA347109390E}"/>
    <cellStyle name="Millares 55 2 9 2 3 2" xfId="5936" xr:uid="{5EBC622E-8BC3-4920-B035-E754D62D14FA}"/>
    <cellStyle name="Millares 55 2 9 2 3 2 2" xfId="10504" xr:uid="{6A10AD60-373B-4168-90A0-4677D31F335E}"/>
    <cellStyle name="Millares 55 2 9 2 3 3" xfId="8212" xr:uid="{D61D8C95-67B9-45E3-8280-AFDA89D049C3}"/>
    <cellStyle name="Millares 55 2 9 2 4" xfId="4927" xr:uid="{B0574F43-BFDF-4A24-BDDA-9C559212371C}"/>
    <cellStyle name="Millares 55 2 9 2 4 2" xfId="9495" xr:uid="{26ECFBF0-F587-4D51-BB27-61EA919BAAA2}"/>
    <cellStyle name="Millares 55 2 9 2 5" xfId="7203" xr:uid="{FEB1C26F-15DB-4737-AE00-902BF0CA6E21}"/>
    <cellStyle name="Millares 55 2 9 3" xfId="3666" xr:uid="{239A8465-BA30-40EC-A343-6B44D5528530}"/>
    <cellStyle name="Millares 55 2 9 3 2" xfId="6069" xr:uid="{059CD7BE-FAED-4690-97FB-5A114AC64962}"/>
    <cellStyle name="Millares 55 2 9 3 2 2" xfId="10637" xr:uid="{F9379A7A-1D7B-4385-8707-90184FE50258}"/>
    <cellStyle name="Millares 55 2 9 3 3" xfId="8345" xr:uid="{99DC70DA-DB0C-41D3-84C3-D579AF45F105}"/>
    <cellStyle name="Millares 55 2 9 4" xfId="3084" xr:uid="{98BD8091-BB51-417A-B772-9751DE9D26FD}"/>
    <cellStyle name="Millares 55 2 9 4 2" xfId="5508" xr:uid="{BB16FBB1-7098-412E-BAC2-A351CF412C69}"/>
    <cellStyle name="Millares 55 2 9 4 2 2" xfId="10076" xr:uid="{5F9E37BC-E7ED-4278-A38F-D3315179001E}"/>
    <cellStyle name="Millares 55 2 9 4 3" xfId="7784" xr:uid="{88F14DC4-AF3E-4CE6-8671-E15C44E344BA}"/>
    <cellStyle name="Millares 55 2 9 5" xfId="4499" xr:uid="{6084D14C-CABB-4512-AB16-036D44F1FFB4}"/>
    <cellStyle name="Millares 55 2 9 5 2" xfId="9067" xr:uid="{78B8FF36-4C45-462A-A0C1-A04A3B301B8D}"/>
    <cellStyle name="Millares 55 2 9 6" xfId="6775" xr:uid="{DC8CE6F3-2582-4D80-B0FD-AEB68B55CD1E}"/>
    <cellStyle name="Millares 55 3" xfId="1919" xr:uid="{6C9202D2-E92A-4991-9C7D-794EB1C4F9AF}"/>
    <cellStyle name="Millares 55 3 2" xfId="2461" xr:uid="{AD68C2BA-7612-4D90-8DBE-7BA9D4147ECB}"/>
    <cellStyle name="Millares 55 3 2 2" xfId="3862" xr:uid="{7B904D19-2355-4364-A279-290077EA4B3F}"/>
    <cellStyle name="Millares 55 3 2 2 2" xfId="6156" xr:uid="{16342AEC-75E8-4B51-BC24-F59DA4CDB134}"/>
    <cellStyle name="Millares 55 3 2 2 2 2" xfId="10724" xr:uid="{8FCEEBA9-4534-4ECE-A6E4-861117014C45}"/>
    <cellStyle name="Millares 55 3 2 2 3" xfId="8432" xr:uid="{37724EC8-C1D4-4C1B-9AE1-D92099715B30}"/>
    <cellStyle name="Millares 55 3 2 3" xfId="3472" xr:uid="{3E8C9EDE-F870-4537-9060-77CC5F090849}"/>
    <cellStyle name="Millares 55 3 2 3 2" xfId="5896" xr:uid="{1EF66523-ED42-4E29-8322-844EEDF75E64}"/>
    <cellStyle name="Millares 55 3 2 3 2 2" xfId="10464" xr:uid="{1474B33C-B8F9-45FB-9A9B-67BE87468C27}"/>
    <cellStyle name="Millares 55 3 2 3 3" xfId="8172" xr:uid="{206DF18E-6603-4E7C-844C-B1B6BF8F86BA}"/>
    <cellStyle name="Millares 55 3 2 4" xfId="4887" xr:uid="{962E7980-F6DE-41A0-8B71-C38C28FA00D7}"/>
    <cellStyle name="Millares 55 3 2 4 2" xfId="9455" xr:uid="{AD279C6D-43BA-429C-902E-34D0955BC809}"/>
    <cellStyle name="Millares 55 3 2 5" xfId="7163" xr:uid="{0A53D299-3F29-4E12-AB86-E47FCE475BE5}"/>
    <cellStyle name="Millares 55 3 3" xfId="3648" xr:uid="{A57042C3-EB5E-4F3D-A6D3-182B50D93C68}"/>
    <cellStyle name="Millares 55 3 3 2" xfId="6052" xr:uid="{1EF34CF3-9186-4668-A72F-54954534DA38}"/>
    <cellStyle name="Millares 55 3 3 2 2" xfId="10620" xr:uid="{29C6B0A3-D77C-4BCC-A254-31A466BCD051}"/>
    <cellStyle name="Millares 55 3 3 3" xfId="8328" xr:uid="{137911D8-5516-4BDE-B383-386CE8294834}"/>
    <cellStyle name="Millares 55 3 4" xfId="3044" xr:uid="{F0FBCAC4-E8A5-48D9-AA25-243D92D440F2}"/>
    <cellStyle name="Millares 55 3 4 2" xfId="5468" xr:uid="{58B143B6-40DC-4A7D-BE18-14BB4AC5B8BA}"/>
    <cellStyle name="Millares 55 3 4 2 2" xfId="10036" xr:uid="{4C360046-8302-4A41-8EE5-14A0717B270A}"/>
    <cellStyle name="Millares 55 3 4 3" xfId="7744" xr:uid="{5FA08640-0A45-4CA6-9FFA-D0EDBD8DE33A}"/>
    <cellStyle name="Millares 55 3 5" xfId="4459" xr:uid="{E92A121E-8712-4ACA-A80C-71060ADC30BB}"/>
    <cellStyle name="Millares 55 3 5 2" xfId="9027" xr:uid="{D37832B7-B5DF-475A-AAC4-95A04219D0B4}"/>
    <cellStyle name="Millares 55 3 6" xfId="6735" xr:uid="{AEA7EBDA-5FAD-49F9-A4A0-C55F7A1214FA}"/>
    <cellStyle name="Millares 55 4" xfId="2274" xr:uid="{995C32C8-2E47-44E2-90D2-C7D9CB512FDE}"/>
    <cellStyle name="Millares 55 4 2" xfId="3829" xr:uid="{00B94FB9-D1FD-46B7-B050-E129325231AB}"/>
    <cellStyle name="Millares 55 4 2 2" xfId="6123" xr:uid="{820456D0-BC53-4CC2-87AA-391C269A8F42}"/>
    <cellStyle name="Millares 55 4 2 2 2" xfId="10691" xr:uid="{5D5A7E07-8190-4B16-9DAE-558DD6904E93}"/>
    <cellStyle name="Millares 55 4 2 3" xfId="8399" xr:uid="{56260512-CA93-4AB4-B78C-8757F1C0B03A}"/>
    <cellStyle name="Millares 55 4 3" xfId="3285" xr:uid="{F2408B28-8A5D-4F38-B223-0AB2E8DFFA3F}"/>
    <cellStyle name="Millares 55 4 3 2" xfId="5709" xr:uid="{0BAADFDE-FB3C-450B-B6AD-08128C5A9A11}"/>
    <cellStyle name="Millares 55 4 3 2 2" xfId="10277" xr:uid="{68551A5E-5A27-4B8D-8BF5-DD4641D6A53A}"/>
    <cellStyle name="Millares 55 4 3 3" xfId="7985" xr:uid="{14239E3F-45D6-4B7E-A732-2D06B99052E1}"/>
    <cellStyle name="Millares 55 4 4" xfId="4700" xr:uid="{51BA1D24-9376-4977-9B1D-3FB3C9CD17FE}"/>
    <cellStyle name="Millares 55 4 4 2" xfId="9268" xr:uid="{3F91A168-099E-4766-8C28-1CE82586A4B0}"/>
    <cellStyle name="Millares 55 4 5" xfId="6976" xr:uid="{3D6BD503-8535-45F4-8E11-14DBFAECB60C}"/>
    <cellStyle name="Millares 55 5" xfId="3617" xr:uid="{9670300C-8284-4D29-8F72-A529927A45F2}"/>
    <cellStyle name="Millares 55 5 2" xfId="6021" xr:uid="{4D085E78-C870-4AD9-AC1F-5E5C7EA83E1C}"/>
    <cellStyle name="Millares 55 5 2 2" xfId="10589" xr:uid="{EE5E4B68-F758-492E-A414-8CAD66848742}"/>
    <cellStyle name="Millares 55 5 3" xfId="8297" xr:uid="{71D0D1F1-147D-49A7-8058-582FAEAD47D0}"/>
    <cellStyle name="Millares 55 6" xfId="2857" xr:uid="{1EC8DAE6-B362-4DEE-BFC4-FEA24A83E260}"/>
    <cellStyle name="Millares 55 6 2" xfId="5281" xr:uid="{22A41500-E29D-44F1-973E-BF3D7BB88EEE}"/>
    <cellStyle name="Millares 55 6 2 2" xfId="9849" xr:uid="{E4C93E2C-C296-448A-B40C-A85947EA9F1C}"/>
    <cellStyle name="Millares 55 6 3" xfId="7557" xr:uid="{3CB458CA-E2B1-4963-B4C2-5753FB0ED1F3}"/>
    <cellStyle name="Millares 55 7" xfId="4272" xr:uid="{B4861044-16B6-40DD-BF39-3C417B8FCE92}"/>
    <cellStyle name="Millares 55 7 2" xfId="8840" xr:uid="{114B1D01-62E9-4919-8CB3-2642D9F888D6}"/>
    <cellStyle name="Millares 55 8" xfId="6548" xr:uid="{72F3CE14-21A9-4B64-9CF1-DA932B8567B5}"/>
    <cellStyle name="Millares 55 9" xfId="1629" xr:uid="{73CB484C-C519-4DA6-A407-39621EED43DB}"/>
    <cellStyle name="Millares 56" xfId="1066" xr:uid="{00000000-0005-0000-0000-00009C020000}"/>
    <cellStyle name="Millares 56 2" xfId="1927" xr:uid="{16AEA210-6508-428F-808C-079B1E421FB3}"/>
    <cellStyle name="Millares 56 2 2" xfId="2469" xr:uid="{C76543E1-B7CC-4930-8643-319412B55C67}"/>
    <cellStyle name="Millares 56 2 2 2" xfId="3480" xr:uid="{3874A43F-A4FA-49AC-81F6-9F2DA57BFA37}"/>
    <cellStyle name="Millares 56 2 2 2 2" xfId="5904" xr:uid="{C71EF965-BB62-464E-B0AB-C6EDB40D1F17}"/>
    <cellStyle name="Millares 56 2 2 2 2 2" xfId="10472" xr:uid="{815521B1-3B73-4CD5-9D68-B81555FB3480}"/>
    <cellStyle name="Millares 56 2 2 2 3" xfId="8180" xr:uid="{55EADAD6-D41A-478C-988A-9B76CF7DFFBF}"/>
    <cellStyle name="Millares 56 2 2 3" xfId="4895" xr:uid="{487DFE90-9B23-4009-A5ED-32F74779C951}"/>
    <cellStyle name="Millares 56 2 2 3 2" xfId="9463" xr:uid="{CDECA029-4AB5-4C5F-8E82-55ACE1CEE4DA}"/>
    <cellStyle name="Millares 56 2 2 4" xfId="7171" xr:uid="{B9F19FF7-509A-4C69-B74C-D8D12AFE0C7E}"/>
    <cellStyle name="Millares 56 2 3" xfId="3052" xr:uid="{67A570C6-ED07-4527-8592-F6CD3E839934}"/>
    <cellStyle name="Millares 56 2 3 2" xfId="5476" xr:uid="{6C1DF8FF-4E85-4078-84BB-FE96EF7310C5}"/>
    <cellStyle name="Millares 56 2 3 2 2" xfId="10044" xr:uid="{F3DC46A3-49AC-40DD-A7D2-15B76139EF12}"/>
    <cellStyle name="Millares 56 2 3 3" xfId="7752" xr:uid="{595D9BC4-2EB9-4AE7-A816-47A00D5CE62D}"/>
    <cellStyle name="Millares 56 2 4" xfId="4467" xr:uid="{AF5F3636-90B8-4810-A3BE-2926503D0E88}"/>
    <cellStyle name="Millares 56 2 4 2" xfId="9035" xr:uid="{03EC7A95-9112-404B-8D50-F5596C2D85F9}"/>
    <cellStyle name="Millares 56 2 5" xfId="6743" xr:uid="{A32EEA0D-8796-48ED-BB00-ADE220C0DF32}"/>
    <cellStyle name="Millares 56 3" xfId="1942" xr:uid="{45DE1259-A6EB-4EF9-83BD-18F334D99FCB}"/>
    <cellStyle name="Millares 56 3 2" xfId="2481" xr:uid="{F5FF88E5-8709-4E23-ADE5-89BB3E04F857}"/>
    <cellStyle name="Millares 56 3 2 2" xfId="3872" xr:uid="{3B542FFA-BBD4-4035-BCE7-87123EE53B4D}"/>
    <cellStyle name="Millares 56 3 2 2 2" xfId="6166" xr:uid="{ABE3D9A5-3A77-4CE3-8DC0-EC63F6A47305}"/>
    <cellStyle name="Millares 56 3 2 2 2 2" xfId="10734" xr:uid="{9EE967C1-9064-4C90-977A-8A80F33CBD40}"/>
    <cellStyle name="Millares 56 3 2 2 3" xfId="8442" xr:uid="{740ACFC7-5B14-4F04-8DA8-00544B253A81}"/>
    <cellStyle name="Millares 56 3 2 3" xfId="3492" xr:uid="{C9E94BAC-D6C4-4AE5-825D-9961861F7D76}"/>
    <cellStyle name="Millares 56 3 2 3 2" xfId="5916" xr:uid="{F3DD6D2D-1174-44B7-A6F5-FB3636535C12}"/>
    <cellStyle name="Millares 56 3 2 3 2 2" xfId="10484" xr:uid="{51FB0382-A80C-44B9-A622-799D4B3EB5AE}"/>
    <cellStyle name="Millares 56 3 2 3 3" xfId="8192" xr:uid="{B613038A-1B82-4BF3-9B4C-B07BC5CC044E}"/>
    <cellStyle name="Millares 56 3 2 4" xfId="4907" xr:uid="{BCEA0A5E-BBF1-4AD0-ADDB-75C0D0A8A54F}"/>
    <cellStyle name="Millares 56 3 2 4 2" xfId="9475" xr:uid="{2A51ED5C-05BC-42EC-B633-B28885A70A0A}"/>
    <cellStyle name="Millares 56 3 2 5" xfId="7183" xr:uid="{D7B76A86-F6BC-4DFD-8D9E-5518ECBB27F9}"/>
    <cellStyle name="Millares 56 3 3" xfId="3064" xr:uid="{2F40B902-ADDF-4080-8D00-03211AAB72DA}"/>
    <cellStyle name="Millares 56 3 3 2" xfId="5488" xr:uid="{056A3D39-370E-4B84-A141-483FA3D9EB12}"/>
    <cellStyle name="Millares 56 3 3 2 2" xfId="10056" xr:uid="{681466B2-81B7-458B-B36E-404B93D0178D}"/>
    <cellStyle name="Millares 56 3 3 3" xfId="7764" xr:uid="{DCAA82AE-FA36-4212-A963-65735179F394}"/>
    <cellStyle name="Millares 56 3 4" xfId="4479" xr:uid="{ABE15A81-63AA-48BB-A491-885BF1873CA9}"/>
    <cellStyle name="Millares 56 3 4 2" xfId="9047" xr:uid="{45058F17-2E1F-47BD-992B-BDEBA92510AE}"/>
    <cellStyle name="Millares 56 3 5" xfId="6755" xr:uid="{B781C6E2-E931-494E-A112-A9B66519EBB6}"/>
    <cellStyle name="Millares 56 4" xfId="2282" xr:uid="{10A05ED7-20B6-40C0-8B8A-F3F048E10910}"/>
    <cellStyle name="Millares 56 4 2" xfId="3833" xr:uid="{7FF0F4F3-B01D-4C91-87E0-F94522C5D406}"/>
    <cellStyle name="Millares 56 4 2 2" xfId="6127" xr:uid="{C273D43D-6C38-46B8-9F40-D4366E0D0730}"/>
    <cellStyle name="Millares 56 4 2 2 2" xfId="10695" xr:uid="{A83A5A9B-AD45-4762-8B81-2FECC3A0A009}"/>
    <cellStyle name="Millares 56 4 2 3" xfId="8403" xr:uid="{4DEB63D9-E0D3-4EA5-BA34-0B7DA66E3EBA}"/>
    <cellStyle name="Millares 56 4 3" xfId="3293" xr:uid="{99BE9637-7D37-45C7-8211-37352ACF722F}"/>
    <cellStyle name="Millares 56 4 3 2" xfId="5717" xr:uid="{D1C4AB9F-98BB-48B0-A988-1D6D80A74C87}"/>
    <cellStyle name="Millares 56 4 3 2 2" xfId="10285" xr:uid="{455B6E9D-A6DB-4D31-92D2-84CC76F27249}"/>
    <cellStyle name="Millares 56 4 3 3" xfId="7993" xr:uid="{ED643C7D-2AD5-4245-9737-CEF5F919A281}"/>
    <cellStyle name="Millares 56 4 4" xfId="4708" xr:uid="{66C3378A-7EF7-4481-87AD-21F29F99164D}"/>
    <cellStyle name="Millares 56 4 4 2" xfId="9276" xr:uid="{6593369D-9FB9-496D-8C54-C057B3F87EE6}"/>
    <cellStyle name="Millares 56 4 5" xfId="6984" xr:uid="{AFBAC925-4E5C-453A-AC05-BC38D949D72F}"/>
    <cellStyle name="Millares 56 5" xfId="2865" xr:uid="{950A211F-5AC0-40FA-8D1C-E0B0DDEF13E0}"/>
    <cellStyle name="Millares 56 5 2" xfId="5289" xr:uid="{01BB21DE-25BB-4252-A9BC-2F7C60C4D2A5}"/>
    <cellStyle name="Millares 56 5 2 2" xfId="9857" xr:uid="{8C212F90-74D5-43B6-AB7A-6C6D2899A9E2}"/>
    <cellStyle name="Millares 56 5 3" xfId="7565" xr:uid="{A8C917AB-7567-4E51-8BA9-8F8A0143669D}"/>
    <cellStyle name="Millares 56 6" xfId="4280" xr:uid="{A9343E87-73C4-4066-9DB2-D74D0AD8CAF6}"/>
    <cellStyle name="Millares 56 6 2" xfId="8848" xr:uid="{8742F253-4CF2-4D06-B578-E740B8B711AD}"/>
    <cellStyle name="Millares 56 7" xfId="6556" xr:uid="{7005E556-D8BD-414B-8249-E6ECD9A963D7}"/>
    <cellStyle name="Millares 56 8" xfId="1637" xr:uid="{D4E858BE-2803-4AA4-8A88-F6BDA68ABEB0}"/>
    <cellStyle name="Millares 57" xfId="1022" xr:uid="{00000000-0005-0000-0000-00009D020000}"/>
    <cellStyle name="Millares 57 10" xfId="1187" xr:uid="{00000000-0005-0000-0000-00009E020000}"/>
    <cellStyle name="Millares 57 11" xfId="1208" xr:uid="{00000000-0005-0000-0000-00009F020000}"/>
    <cellStyle name="Millares 57 12" xfId="1221" xr:uid="{00000000-0005-0000-0000-0000A0020000}"/>
    <cellStyle name="Millares 57 13" xfId="1239" xr:uid="{00000000-0005-0000-0000-0000A1020000}"/>
    <cellStyle name="Millares 57 14" xfId="1272" xr:uid="{9A059EA9-F880-4AF5-98B1-0928AC851FFB}"/>
    <cellStyle name="Millares 57 15" xfId="1289" xr:uid="{3CC63404-8886-4A22-926E-3F5D72F4D52B}"/>
    <cellStyle name="Millares 57 16" xfId="1316" xr:uid="{8D4D18DF-2A03-4C78-B37C-7F81561C5A60}"/>
    <cellStyle name="Millares 57 17" xfId="1642" xr:uid="{E4D52A5F-9E57-4B11-A824-98A6A7AC6CEF}"/>
    <cellStyle name="Millares 57 2" xfId="1031" xr:uid="{00000000-0005-0000-0000-0000A2020000}"/>
    <cellStyle name="Millares 57 2 2" xfId="2474" xr:uid="{FEF108FB-4310-414A-B54B-29C8A6C72AAA}"/>
    <cellStyle name="Millares 57 2 2 2" xfId="3868" xr:uid="{9B2DC127-2E02-4B13-93B3-B4FC83FE1E44}"/>
    <cellStyle name="Millares 57 2 2 2 2" xfId="6162" xr:uid="{BCEC964A-D7BA-47B4-A62A-CA842E93A01B}"/>
    <cellStyle name="Millares 57 2 2 2 2 2" xfId="10730" xr:uid="{E290F19D-01EE-4427-BE3F-F60FF77E143F}"/>
    <cellStyle name="Millares 57 2 2 2 3" xfId="8438" xr:uid="{078EA4D5-9F2B-4F94-A30F-9CBF5EF1F392}"/>
    <cellStyle name="Millares 57 2 2 3" xfId="3485" xr:uid="{46986109-66A9-489A-8C07-0D23E8276D77}"/>
    <cellStyle name="Millares 57 2 2 3 2" xfId="5909" xr:uid="{AB4A8755-DA16-4BEB-B3BB-F7E79957A29E}"/>
    <cellStyle name="Millares 57 2 2 3 2 2" xfId="10477" xr:uid="{DA4EC8AE-9EE2-49D1-AF30-06A65700F3F7}"/>
    <cellStyle name="Millares 57 2 2 3 3" xfId="8185" xr:uid="{EECCE316-90EB-45EC-AA66-565810D8ADF0}"/>
    <cellStyle name="Millares 57 2 2 4" xfId="4900" xr:uid="{31C8849F-8F5D-4AC8-9C1B-7ACEDE51B982}"/>
    <cellStyle name="Millares 57 2 2 4 2" xfId="9468" xr:uid="{ED9B4BD6-6A13-4238-9C8E-22AA9AA282C4}"/>
    <cellStyle name="Millares 57 2 2 5" xfId="7176" xr:uid="{B7045691-6EA9-4867-B1D0-42232102774F}"/>
    <cellStyle name="Millares 57 2 3" xfId="3655" xr:uid="{50E18126-38B0-48F8-827C-74B5767A04CB}"/>
    <cellStyle name="Millares 57 2 3 2" xfId="6058" xr:uid="{43C2EE30-DD56-4F16-91E7-719E2B4EF2EB}"/>
    <cellStyle name="Millares 57 2 3 2 2" xfId="10626" xr:uid="{C8AB5DF5-BEA2-4A73-99E3-E75670838360}"/>
    <cellStyle name="Millares 57 2 3 3" xfId="8334" xr:uid="{E2B29F87-ED51-43E9-B87E-96BEA137C15F}"/>
    <cellStyle name="Millares 57 2 4" xfId="3057" xr:uid="{D76F5BC5-79BB-44C9-8BEB-08C327BA7B7D}"/>
    <cellStyle name="Millares 57 2 4 2" xfId="5481" xr:uid="{E5EF05F6-D0FD-45FE-9232-06BED2F65B45}"/>
    <cellStyle name="Millares 57 2 4 2 2" xfId="10049" xr:uid="{5C342783-8251-4E43-989C-311BB5D139EE}"/>
    <cellStyle name="Millares 57 2 4 3" xfId="7757" xr:uid="{A0AD6D27-9BDC-412A-A78D-95A928334D0D}"/>
    <cellStyle name="Millares 57 2 5" xfId="4472" xr:uid="{A2E0C3CF-9669-4187-8D9C-142E537D9199}"/>
    <cellStyle name="Millares 57 2 5 2" xfId="9040" xr:uid="{E78EEF9E-2E5C-4DCD-96AD-C8386BFC3FE3}"/>
    <cellStyle name="Millares 57 2 6" xfId="6748" xr:uid="{B07CE43B-20A4-4C23-BC6B-E45846FB9580}"/>
    <cellStyle name="Millares 57 2 7" xfId="1932" xr:uid="{A6BB0E40-99EC-43DC-83A4-A993311A7ED2}"/>
    <cellStyle name="Millares 57 3" xfId="1045" xr:uid="{00000000-0005-0000-0000-0000A3020000}"/>
    <cellStyle name="Millares 57 3 2" xfId="3837" xr:uid="{9693511A-5275-4C12-B642-759DD7A3014B}"/>
    <cellStyle name="Millares 57 3 2 2" xfId="6131" xr:uid="{ED3D6E9F-8DAE-4546-915C-0DD9CDEB02D5}"/>
    <cellStyle name="Millares 57 3 2 2 2" xfId="10699" xr:uid="{ABAEA85F-90FA-4026-BB6E-41C14181FAC1}"/>
    <cellStyle name="Millares 57 3 2 3" xfId="8407" xr:uid="{099DB3E9-F31B-4D75-AD3C-4E80BA7F5A48}"/>
    <cellStyle name="Millares 57 3 3" xfId="3298" xr:uid="{590EDF76-AF0E-432D-9541-4155455BCC0D}"/>
    <cellStyle name="Millares 57 3 3 2" xfId="5722" xr:uid="{EBF38D03-0091-4F7C-8879-6B5B7CD11DF8}"/>
    <cellStyle name="Millares 57 3 3 2 2" xfId="10290" xr:uid="{F0AC7DF4-EFE5-445B-84ED-7CB40825320B}"/>
    <cellStyle name="Millares 57 3 3 3" xfId="7998" xr:uid="{B82DE475-7510-402D-BD7C-2BA91BE7BACB}"/>
    <cellStyle name="Millares 57 3 4" xfId="4713" xr:uid="{1DEC58BB-34DD-487E-BF5A-B5A76FD7E6C7}"/>
    <cellStyle name="Millares 57 3 4 2" xfId="9281" xr:uid="{C95D0E85-1D92-4F30-95EF-CB43E719D92A}"/>
    <cellStyle name="Millares 57 3 5" xfId="6989" xr:uid="{D673CE16-DADD-4878-A752-93C2E6CB65CB}"/>
    <cellStyle name="Millares 57 3 6" xfId="2287" xr:uid="{B68BBDCD-699A-4D49-9E4A-6B20F573FC0C}"/>
    <cellStyle name="Millares 57 4" xfId="1058" xr:uid="{00000000-0005-0000-0000-0000A4020000}"/>
    <cellStyle name="Millares 57 4 2" xfId="3623" xr:uid="{26DB233D-7271-4882-8263-891BC40035DF}"/>
    <cellStyle name="Millares 57 4 2 2" xfId="6027" xr:uid="{E71FC572-A065-442A-BE2E-56FF614F1157}"/>
    <cellStyle name="Millares 57 4 2 2 2" xfId="10595" xr:uid="{4FB0228E-D582-43DD-95F8-78738BF218E3}"/>
    <cellStyle name="Millares 57 4 2 3" xfId="8303" xr:uid="{2909C619-1997-4388-BD65-4C913075C4CD}"/>
    <cellStyle name="Millares 57 4 3" xfId="5026" xr:uid="{42BC08F7-A1FA-4A62-ABB7-BC52D12E258D}"/>
    <cellStyle name="Millares 57 4 3 2" xfId="9594" xr:uid="{3F2FB671-B486-4D6D-9F3D-AB65246D5188}"/>
    <cellStyle name="Millares 57 4 4" xfId="7302" xr:uid="{171326C6-8696-42C3-BF67-9726522B7E0A}"/>
    <cellStyle name="Millares 57 4 5" xfId="2600" xr:uid="{85FB8ADB-1891-46C6-A448-8D9777A1DB70}"/>
    <cellStyle name="Millares 57 5" xfId="1076" xr:uid="{00000000-0005-0000-0000-0000A5020000}"/>
    <cellStyle name="Millares 57 5 2" xfId="5294" xr:uid="{40E473A3-4BAB-4209-87EF-1A2AB9253913}"/>
    <cellStyle name="Millares 57 5 2 2" xfId="9862" xr:uid="{95DE5D6A-DA09-46B8-8902-A047DA0A72E7}"/>
    <cellStyle name="Millares 57 5 3" xfId="7570" xr:uid="{2C6CF284-6645-4F39-A552-F94E6716D457}"/>
    <cellStyle name="Millares 57 5 4" xfId="2870" xr:uid="{0E4B53D7-3EFD-48B6-B3C8-53AD181C6159}"/>
    <cellStyle name="Millares 57 6" xfId="1108" xr:uid="{00000000-0005-0000-0000-0000A6020000}"/>
    <cellStyle name="Millares 57 6 2" xfId="8853" xr:uid="{AC80592B-EA64-4706-ACE2-FC46F3A47F9F}"/>
    <cellStyle name="Millares 57 6 3" xfId="4285" xr:uid="{63BF4A3A-BF2D-4FA4-96F7-6D6C34B90B02}"/>
    <cellStyle name="Millares 57 7" xfId="1138" xr:uid="{00000000-0005-0000-0000-0000A7020000}"/>
    <cellStyle name="Millares 57 7 2" xfId="6561" xr:uid="{7FE6F295-FDEF-4893-9AAF-59C894DB2AD8}"/>
    <cellStyle name="Millares 57 8" xfId="1157" xr:uid="{00000000-0005-0000-0000-0000A8020000}"/>
    <cellStyle name="Millares 57 9" xfId="1173" xr:uid="{00000000-0005-0000-0000-0000A9020000}"/>
    <cellStyle name="Millares 58" xfId="1112" xr:uid="{00000000-0005-0000-0000-0000AA020000}"/>
    <cellStyle name="Millares 58 2" xfId="1876" xr:uid="{C5E7218D-A9F1-42FF-90F4-E9E939879A85}"/>
    <cellStyle name="Millares 59" xfId="1118" xr:uid="{00000000-0005-0000-0000-0000AB020000}"/>
    <cellStyle name="Millares 59 2" xfId="1938" xr:uid="{7EA182EB-AD4E-4A94-A0D9-B433703EFB7F}"/>
    <cellStyle name="Millares 6" xfId="493" xr:uid="{00000000-0005-0000-0000-0000AC020000}"/>
    <cellStyle name="Millares 6 2" xfId="494" xr:uid="{00000000-0005-0000-0000-0000AD020000}"/>
    <cellStyle name="Millares 6 2 2" xfId="495" xr:uid="{00000000-0005-0000-0000-0000AE020000}"/>
    <cellStyle name="Millares 6 2 2 2" xfId="1746" xr:uid="{DB8C7883-DD0D-4FD4-BAEB-F88088CA6C5A}"/>
    <cellStyle name="Millares 6 2 2 3" xfId="2105" xr:uid="{68CC1B1E-BFE1-4104-9F8D-63040FB74719}"/>
    <cellStyle name="Millares 6 2 2 3 2" xfId="3758" xr:uid="{7CB85231-9B50-4BF0-BE5F-EEDD9D29932A}"/>
    <cellStyle name="Millares 6 2 2 4" xfId="4103" xr:uid="{0FFB4527-A3EC-478E-8E1A-BFB14DC7B2CE}"/>
    <cellStyle name="Millares 6 2 2 4 2" xfId="8672" xr:uid="{92A8348E-1064-4851-BA9B-04E1DE06BF87}"/>
    <cellStyle name="Millares 6 2 2 5" xfId="1460" xr:uid="{4C86CA3C-71F1-4143-8C58-CC2B87C3C425}"/>
    <cellStyle name="Millares 6 2 3" xfId="1745" xr:uid="{6BA1EA7A-4895-4EDC-B8D1-701CEA3DAA2E}"/>
    <cellStyle name="Millares 6 2 4" xfId="2104" xr:uid="{CD112672-5C12-40A3-96AA-5216323CD4A2}"/>
    <cellStyle name="Millares 6 2 4 2" xfId="3757" xr:uid="{6B020EA8-4C17-420D-942D-18004DD494E5}"/>
    <cellStyle name="Millares 6 2 5" xfId="4102" xr:uid="{71580D72-A5BE-41A0-B742-9E776CA21088}"/>
    <cellStyle name="Millares 6 2 5 2" xfId="8671" xr:uid="{A69E4CF2-B27A-4AA2-BC90-37193713421D}"/>
    <cellStyle name="Millares 6 2 6" xfId="1459" xr:uid="{20B2636B-DA66-4D11-B77B-412C51B5DD17}"/>
    <cellStyle name="Millares 6 3" xfId="496" xr:uid="{00000000-0005-0000-0000-0000AF020000}"/>
    <cellStyle name="Millares 6 3 2" xfId="497" xr:uid="{00000000-0005-0000-0000-0000B0020000}"/>
    <cellStyle name="Millares 6 3 2 2" xfId="1748" xr:uid="{E0BEED0D-3EE2-4A89-9EAE-05384AD567AA}"/>
    <cellStyle name="Millares 6 3 2 3" xfId="2107" xr:uid="{80CF004F-E3EF-4ABC-8FF0-341D4E2DA4B3}"/>
    <cellStyle name="Millares 6 3 2 3 2" xfId="3760" xr:uid="{AD1D6087-35DF-417F-AAEA-40F4FE57496E}"/>
    <cellStyle name="Millares 6 3 2 4" xfId="4105" xr:uid="{6B541DB6-5B17-4151-8DC6-4BB9FAECC592}"/>
    <cellStyle name="Millares 6 3 2 4 2" xfId="8674" xr:uid="{3E4EF53A-F435-4DD7-AA5D-D4390703FEE1}"/>
    <cellStyle name="Millares 6 3 2 5" xfId="1462" xr:uid="{3F145471-15BD-4509-9C42-CBB4075DD14C}"/>
    <cellStyle name="Millares 6 3 3" xfId="1747" xr:uid="{46E7A2AA-3CA0-41EE-83AA-3B6DEB6538AD}"/>
    <cellStyle name="Millares 6 3 4" xfId="2106" xr:uid="{56542A30-9B34-4F3E-B131-71A2B1ACB7D6}"/>
    <cellStyle name="Millares 6 3 4 2" xfId="3759" xr:uid="{80E636A9-941C-4F12-953B-53B679194FAF}"/>
    <cellStyle name="Millares 6 3 5" xfId="4104" xr:uid="{ADF172ED-3567-4652-8BC8-296ED9779A3C}"/>
    <cellStyle name="Millares 6 3 5 2" xfId="8673" xr:uid="{5C3061BE-B6CA-412E-B506-7E082990DED2}"/>
    <cellStyle name="Millares 6 3 6" xfId="1461" xr:uid="{8E385AA7-B783-44D4-9EFD-30039A788626}"/>
    <cellStyle name="Millares 60" xfId="1120" xr:uid="{00000000-0005-0000-0000-0000B1020000}"/>
    <cellStyle name="Millares 60 2" xfId="1869" xr:uid="{1637C962-F9DB-46A2-A829-7549A6544A5F}"/>
    <cellStyle name="Millares 61" xfId="1123" xr:uid="{00000000-0005-0000-0000-0000B2020000}"/>
    <cellStyle name="Millares 61 2" xfId="1937" xr:uid="{00FCA2F9-7515-4806-803A-8BB695BD0518}"/>
    <cellStyle name="Millares 62" xfId="1126" xr:uid="{00000000-0005-0000-0000-0000B3020000}"/>
    <cellStyle name="Millares 62 2" xfId="1868" xr:uid="{4D2E054A-C911-4489-8CCD-78BE8F19E137}"/>
    <cellStyle name="Millares 63" xfId="1130" xr:uid="{00000000-0005-0000-0000-0000B4020000}"/>
    <cellStyle name="Millares 63 2" xfId="1936" xr:uid="{A5D9047C-640F-45D0-BE64-F841D1614D30}"/>
    <cellStyle name="Millares 64" xfId="1132" xr:uid="{00000000-0005-0000-0000-0000B5020000}"/>
    <cellStyle name="Millares 64 2" xfId="1863" xr:uid="{94227E1E-43CA-46FD-94E8-505D8C96EF2E}"/>
    <cellStyle name="Millares 65" xfId="1041" xr:uid="{00000000-0005-0000-0000-0000B6020000}"/>
    <cellStyle name="Millares 65 2" xfId="1054" xr:uid="{00000000-0005-0000-0000-0000B7020000}"/>
    <cellStyle name="Millares 65 2 2" xfId="3503" xr:uid="{98274362-AD73-4FA4-9547-C71CA0089582}"/>
    <cellStyle name="Millares 65 2 2 2" xfId="5927" xr:uid="{2AD0BA70-7334-43F3-891D-1DC5FE36DFAB}"/>
    <cellStyle name="Millares 65 2 2 2 2" xfId="10495" xr:uid="{D7A41F3A-86E0-46B1-80CC-C7B16CFEE4E9}"/>
    <cellStyle name="Millares 65 2 2 3" xfId="8203" xr:uid="{67D37B50-3497-4751-B970-94521CAA80AE}"/>
    <cellStyle name="Millares 65 2 3" xfId="4918" xr:uid="{4A955920-C25D-49BC-AAE2-B457165E7832}"/>
    <cellStyle name="Millares 65 2 3 2" xfId="9486" xr:uid="{83BD7695-4657-4D70-ACB8-F09CC90D057E}"/>
    <cellStyle name="Millares 65 2 4" xfId="7194" xr:uid="{130DDCA6-0F1A-4DC3-95CA-B0242504921E}"/>
    <cellStyle name="Millares 65 2 5" xfId="2492" xr:uid="{C154B007-46BC-4C85-B733-4BC1884C4B65}"/>
    <cellStyle name="Millares 65 3" xfId="1074" xr:uid="{00000000-0005-0000-0000-0000B8020000}"/>
    <cellStyle name="Millares 65 3 2" xfId="5499" xr:uid="{CFA773B1-29CD-4C9E-96E9-D4BD5AB78F4A}"/>
    <cellStyle name="Millares 65 3 2 2" xfId="10067" xr:uid="{E8CAEC82-9224-4C4D-8751-4ADCC11A9E79}"/>
    <cellStyle name="Millares 65 3 3" xfId="7775" xr:uid="{5231BC98-648C-4327-93A9-CEBA84ED2902}"/>
    <cellStyle name="Millares 65 3 4" xfId="3075" xr:uid="{09A3D35F-1F3A-49E3-82BB-E780058DDCB5}"/>
    <cellStyle name="Millares 65 4" xfId="1086" xr:uid="{00000000-0005-0000-0000-0000B9020000}"/>
    <cellStyle name="Millares 65 4 2" xfId="9058" xr:uid="{38AEB3F9-C695-4A74-BCCF-B3D686D6A4F7}"/>
    <cellStyle name="Millares 65 4 3" xfId="4490" xr:uid="{4B18E77A-CE1B-46CA-98BD-B7B47DE6107C}"/>
    <cellStyle name="Millares 65 5" xfId="6766" xr:uid="{4D147BB3-F549-407A-915F-488A52D0A35D}"/>
    <cellStyle name="Millares 65 6" xfId="1955" xr:uid="{45E94BE1-02CE-424C-A7CE-977FDEE50A06}"/>
    <cellStyle name="Millares 66" xfId="1060" xr:uid="{00000000-0005-0000-0000-0000BA020000}"/>
    <cellStyle name="Millares 66 2" xfId="2508" xr:uid="{BA974FF8-C9AB-4136-92EB-93C7BB94B944}"/>
    <cellStyle name="Millares 66 2 2" xfId="3887" xr:uid="{06FD95FB-4F2D-41BB-BA5A-66F58DE5D182}"/>
    <cellStyle name="Millares 66 2 2 2" xfId="6181" xr:uid="{5EBBE86F-E304-4BC2-B29B-043996EB3B90}"/>
    <cellStyle name="Millares 66 2 2 2 2" xfId="10749" xr:uid="{A604A5C5-0BD1-4092-AEBA-AC4E8F764F16}"/>
    <cellStyle name="Millares 66 2 2 3" xfId="8457" xr:uid="{A154C342-7F6D-4FFE-800E-7F86BD92B876}"/>
    <cellStyle name="Millares 66 2 3" xfId="3519" xr:uid="{309A8445-B6CC-4EA0-BAD3-17A64FAFA68D}"/>
    <cellStyle name="Millares 66 2 3 2" xfId="5943" xr:uid="{0AA8A30A-9194-41D0-9534-FF335D158A73}"/>
    <cellStyle name="Millares 66 2 3 2 2" xfId="10511" xr:uid="{61EDD8AA-945A-4708-B1A9-F09E84B338B9}"/>
    <cellStyle name="Millares 66 2 3 3" xfId="8219" xr:uid="{5F342575-653A-4783-84BC-DFD04FAC9476}"/>
    <cellStyle name="Millares 66 2 4" xfId="4934" xr:uid="{3967FBEA-E424-440D-B030-2AA3DBBBE256}"/>
    <cellStyle name="Millares 66 2 4 2" xfId="9502" xr:uid="{74C53172-2DEF-4955-B597-7C3A55656E0B}"/>
    <cellStyle name="Millares 66 2 5" xfId="7210" xr:uid="{0AF6DBFE-6227-40A8-AD50-E09B78B8DFC5}"/>
    <cellStyle name="Millares 66 3" xfId="3672" xr:uid="{0FCE969E-5298-478C-A63F-5006EE741E1E}"/>
    <cellStyle name="Millares 66 3 2" xfId="6075" xr:uid="{F6611E2D-9638-4A34-BE6F-459873E504A1}"/>
    <cellStyle name="Millares 66 3 2 2" xfId="10643" xr:uid="{A60D824B-C96C-4D40-9BB5-2E6F2CA550B6}"/>
    <cellStyle name="Millares 66 3 3" xfId="8351" xr:uid="{7DDFD452-2BA7-48BD-A1D3-03D36F1D9EE4}"/>
    <cellStyle name="Millares 66 4" xfId="3091" xr:uid="{8C3B7CF4-45CB-4BC4-865F-B1AD1DC1C27F}"/>
    <cellStyle name="Millares 66 4 2" xfId="5515" xr:uid="{6E92641B-77CE-4C04-A889-E5F2FAB7B21A}"/>
    <cellStyle name="Millares 66 4 2 2" xfId="10083" xr:uid="{F8F63D02-C825-47F8-9F42-1842F15224BB}"/>
    <cellStyle name="Millares 66 4 3" xfId="7791" xr:uid="{8C473ABD-EBB0-4826-ADF8-CC6540B993AF}"/>
    <cellStyle name="Millares 66 5" xfId="4506" xr:uid="{2F4AAD47-300F-4734-B681-95698429016C}"/>
    <cellStyle name="Millares 66 5 2" xfId="9074" xr:uid="{5A2E6846-2CB1-4690-A880-3CEEF350AB67}"/>
    <cellStyle name="Millares 66 6" xfId="6782" xr:uid="{B1E10323-F511-4D31-AE6A-C181A62D16B2}"/>
    <cellStyle name="Millares 66 7" xfId="1971" xr:uid="{6DA3C19C-1A6E-4F42-BA28-8FB7EC6D58CA}"/>
    <cellStyle name="Millares 67" xfId="1147" xr:uid="{00000000-0005-0000-0000-0000BB020000}"/>
    <cellStyle name="Millares 67 2" xfId="2510" xr:uid="{3A2681C7-4461-4701-8CE8-6D86E59437D5}"/>
    <cellStyle name="Millares 67 2 2" xfId="3889" xr:uid="{82493DAE-137F-4A97-9788-DD142AEC73A7}"/>
    <cellStyle name="Millares 67 2 2 2" xfId="6183" xr:uid="{2E6EA89D-0F2A-4BA9-814D-5E01B135D862}"/>
    <cellStyle name="Millares 67 2 2 2 2" xfId="10751" xr:uid="{4C6E5DB9-DF59-45CC-B5E6-15AD99BAFBA8}"/>
    <cellStyle name="Millares 67 2 2 3" xfId="8459" xr:uid="{3C3674CC-AE83-4E5D-A8A5-9D34DF742CDC}"/>
    <cellStyle name="Millares 67 2 3" xfId="3521" xr:uid="{08BC761F-9311-44B8-B675-7368EC11156A}"/>
    <cellStyle name="Millares 67 2 3 2" xfId="5945" xr:uid="{DA12C7CB-DF7A-4A90-BEE3-A15AE08D9915}"/>
    <cellStyle name="Millares 67 2 3 2 2" xfId="10513" xr:uid="{EDB88B71-E129-4D1D-8425-738B372A0507}"/>
    <cellStyle name="Millares 67 2 3 3" xfId="8221" xr:uid="{8903F122-AC6C-414C-9766-CDBA93DE3EDA}"/>
    <cellStyle name="Millares 67 2 4" xfId="4936" xr:uid="{CD354DD7-D900-4E70-A43E-F5E8ADE98044}"/>
    <cellStyle name="Millares 67 2 4 2" xfId="9504" xr:uid="{6D98A97D-371A-4CDE-A115-F9E63B7312F5}"/>
    <cellStyle name="Millares 67 2 5" xfId="7212" xr:uid="{E5A8DAC6-6CB9-419C-8E13-7D13599736C4}"/>
    <cellStyle name="Millares 67 3" xfId="3674" xr:uid="{CEC12B43-CD4F-409B-939E-F994A3D26CCD}"/>
    <cellStyle name="Millares 67 3 2" xfId="6077" xr:uid="{C691DE94-B50D-4819-93FE-E8C770E5712D}"/>
    <cellStyle name="Millares 67 3 2 2" xfId="10645" xr:uid="{5BDF0A64-3613-471B-8245-E032869E42B5}"/>
    <cellStyle name="Millares 67 3 3" xfId="8353" xr:uid="{70C129A6-A9B9-4A9B-BE9E-3EACE91A8006}"/>
    <cellStyle name="Millares 67 4" xfId="3093" xr:uid="{42264930-2CB3-415F-9946-75E233F0B17E}"/>
    <cellStyle name="Millares 67 4 2" xfId="5517" xr:uid="{C267DFAA-783F-412B-AADC-3A24A27FDC47}"/>
    <cellStyle name="Millares 67 4 2 2" xfId="10085" xr:uid="{790F71A0-3CA2-44E3-85A7-3E5147F9DDAE}"/>
    <cellStyle name="Millares 67 4 3" xfId="7793" xr:uid="{FDB0BB51-B16D-4003-9C2B-D9AA4BB05E74}"/>
    <cellStyle name="Millares 67 5" xfId="4508" xr:uid="{464CD44E-F16C-4481-8512-B9D9315DD163}"/>
    <cellStyle name="Millares 67 5 2" xfId="9076" xr:uid="{685E4FEC-B762-49B8-8B4A-48FD65FFAF24}"/>
    <cellStyle name="Millares 67 6" xfId="6784" xr:uid="{36958572-27CE-4DDF-A203-2C06D8A672C8}"/>
    <cellStyle name="Millares 67 7" xfId="1973" xr:uid="{C77AD120-DF1B-453F-A791-B2E3656A014E}"/>
    <cellStyle name="Millares 68" xfId="1149" xr:uid="{00000000-0005-0000-0000-0000BC020000}"/>
    <cellStyle name="Millares 68 10" xfId="1975" xr:uid="{4AD1C67E-8470-49B8-B70C-0390CDAEA1D5}"/>
    <cellStyle name="Millares 68 2" xfId="1977" xr:uid="{F1F28008-DA7C-46E2-B1E7-69F7FE8C75BD}"/>
    <cellStyle name="Millares 68 2 2" xfId="2514" xr:uid="{D6E093C6-5582-4CED-A44C-FC6D7F26AEC4}"/>
    <cellStyle name="Millares 68 2 2 2" xfId="3893" xr:uid="{ADEC8113-A29D-4337-BEE0-7E797DC82BC6}"/>
    <cellStyle name="Millares 68 2 2 2 2" xfId="6187" xr:uid="{DC4D5891-205E-4384-B41F-59E2049E101B}"/>
    <cellStyle name="Millares 68 2 2 2 2 2" xfId="10755" xr:uid="{43249474-AED0-433D-A92F-BF915A25A195}"/>
    <cellStyle name="Millares 68 2 2 2 3" xfId="8463" xr:uid="{A7531057-A02E-466A-BE42-DB330FC4275F}"/>
    <cellStyle name="Millares 68 2 2 3" xfId="3525" xr:uid="{BFA4A5EF-50A9-4973-9688-E595DF0C15D6}"/>
    <cellStyle name="Millares 68 2 2 3 2" xfId="5949" xr:uid="{B5022BE6-B02C-4F85-85E8-AD0D9E6D1C6F}"/>
    <cellStyle name="Millares 68 2 2 3 2 2" xfId="10517" xr:uid="{7C378738-7F19-4A18-8005-56ACB09DCAF9}"/>
    <cellStyle name="Millares 68 2 2 3 3" xfId="8225" xr:uid="{E7BFFB20-7938-4027-AD2E-E20FC05059A9}"/>
    <cellStyle name="Millares 68 2 2 4" xfId="4940" xr:uid="{A8ACE93D-E63B-4375-B74F-93499FAE836E}"/>
    <cellStyle name="Millares 68 2 2 4 2" xfId="9508" xr:uid="{F252490A-67A9-4879-AAB2-0046D63B90EE}"/>
    <cellStyle name="Millares 68 2 2 5" xfId="7216" xr:uid="{781D844A-60C4-40B0-99A1-E465EC0FF742}"/>
    <cellStyle name="Millares 68 2 3" xfId="3678" xr:uid="{FA583158-2B92-4DBC-9A91-6D95B04B905D}"/>
    <cellStyle name="Millares 68 2 3 2" xfId="6081" xr:uid="{1120B67E-710D-4F0B-97B7-798CF9F48074}"/>
    <cellStyle name="Millares 68 2 3 2 2" xfId="10649" xr:uid="{55513C23-F308-4096-BE81-8B9804C12E61}"/>
    <cellStyle name="Millares 68 2 3 3" xfId="8357" xr:uid="{29F02C3C-7F98-4437-BC3A-A8FE3B9E1819}"/>
    <cellStyle name="Millares 68 2 4" xfId="3097" xr:uid="{C177FD88-5835-4C13-B95C-A1C715F83F19}"/>
    <cellStyle name="Millares 68 2 4 2" xfId="5521" xr:uid="{FAF0E240-734B-4EF8-BDE4-0716919A023F}"/>
    <cellStyle name="Millares 68 2 4 2 2" xfId="10089" xr:uid="{EF8B8325-1037-4768-ABA3-46AF5698E04B}"/>
    <cellStyle name="Millares 68 2 4 3" xfId="7797" xr:uid="{B3473AAC-9D3C-4550-B568-A3045C01CCB1}"/>
    <cellStyle name="Millares 68 2 5" xfId="4512" xr:uid="{137D79E8-9A60-4EBB-A243-AF9302160E06}"/>
    <cellStyle name="Millares 68 2 5 2" xfId="9080" xr:uid="{547B34D1-4B64-47AB-A371-DBC5AEFD4237}"/>
    <cellStyle name="Millares 68 2 6" xfId="6788" xr:uid="{9F05C3BC-2C56-4C36-9D5F-14749F647B8B}"/>
    <cellStyle name="Millares 68 3" xfId="1098" xr:uid="{00000000-0005-0000-0000-0000BD020000}"/>
    <cellStyle name="Millares 68 3 10" xfId="2530" xr:uid="{AD675D45-7721-4CA1-9861-3BE0C4B8B641}"/>
    <cellStyle name="Millares 68 3 10 2" xfId="3909" xr:uid="{C2D97355-F879-406B-BD09-4DC6A5A226E0}"/>
    <cellStyle name="Millares 68 3 10 2 2" xfId="6203" xr:uid="{192D99C6-5FD7-407B-9322-9264508D14E7}"/>
    <cellStyle name="Millares 68 3 10 2 2 2" xfId="10771" xr:uid="{BCB6B4CB-30F7-4627-B729-18F807F206CC}"/>
    <cellStyle name="Millares 68 3 10 2 3" xfId="8479" xr:uid="{CAD932E6-CB66-482B-9035-102BE0EB3078}"/>
    <cellStyle name="Millares 68 3 10 3" xfId="3541" xr:uid="{002E9084-3962-4953-BCCB-73741C2D3D21}"/>
    <cellStyle name="Millares 68 3 10 3 2" xfId="5965" xr:uid="{E3C450B0-A9E6-4729-AE85-5AEF5DCF1BFC}"/>
    <cellStyle name="Millares 68 3 10 3 2 2" xfId="10533" xr:uid="{C17A2A3B-6459-4786-9D3E-DD3462B7A3BF}"/>
    <cellStyle name="Millares 68 3 10 3 3" xfId="8241" xr:uid="{47A37350-AEFB-4834-94DC-1BE33473F4C5}"/>
    <cellStyle name="Millares 68 3 10 4" xfId="4956" xr:uid="{D9145B96-27FB-4790-BFB3-38D997E8C832}"/>
    <cellStyle name="Millares 68 3 10 4 2" xfId="9524" xr:uid="{6FB577C6-9EA4-4B8A-BE46-2D559E06FBCF}"/>
    <cellStyle name="Millares 68 3 10 5" xfId="7232" xr:uid="{949D5728-7B60-4EE2-BD1F-6D25E4370E07}"/>
    <cellStyle name="Millares 68 3 11" xfId="2532" xr:uid="{A0E1D168-05D3-483F-A1B7-775C7B9CC3F2}"/>
    <cellStyle name="Millares 68 3 11 2" xfId="3911" xr:uid="{C3FE92CE-371A-4937-9C12-1666369A5698}"/>
    <cellStyle name="Millares 68 3 11 2 2" xfId="6205" xr:uid="{53F7B2D0-B3CF-444F-B39D-0272F374FC4B}"/>
    <cellStyle name="Millares 68 3 11 2 2 2" xfId="10773" xr:uid="{7B62A368-FDB7-4F47-A2AE-ABF49E671286}"/>
    <cellStyle name="Millares 68 3 11 2 3" xfId="8481" xr:uid="{801E2B0E-86BC-4397-9604-DDC4B98A8F8B}"/>
    <cellStyle name="Millares 68 3 11 3" xfId="3543" xr:uid="{51636255-71F2-4C30-B07E-4A5405BCB2BE}"/>
    <cellStyle name="Millares 68 3 11 3 2" xfId="5967" xr:uid="{FD97FBE3-E8C1-4D83-AACD-41861E35BCE5}"/>
    <cellStyle name="Millares 68 3 11 3 2 2" xfId="10535" xr:uid="{FBB9EBF8-FC6E-4AFC-9E3D-6138EA72360F}"/>
    <cellStyle name="Millares 68 3 11 3 3" xfId="8243" xr:uid="{59010A92-0CE1-470E-B67D-0DCAE0B84B6C}"/>
    <cellStyle name="Millares 68 3 11 4" xfId="4958" xr:uid="{8600F8BC-09E3-4CF5-B58D-C7D4C2A0EC76}"/>
    <cellStyle name="Millares 68 3 11 4 2" xfId="9526" xr:uid="{8DB0A09E-6E0D-4F14-AD3C-AE1DF92520E0}"/>
    <cellStyle name="Millares 68 3 11 5" xfId="7234" xr:uid="{0EABAE5C-0CF5-4EBB-B35C-4EF644D30A16}"/>
    <cellStyle name="Millares 68 3 12" xfId="2534" xr:uid="{3C272D05-4940-4E0F-84A2-EB6B4B6F9755}"/>
    <cellStyle name="Millares 68 3 12 2" xfId="3913" xr:uid="{CE25D513-C8FD-4706-8E43-B51D1EE23A93}"/>
    <cellStyle name="Millares 68 3 12 2 2" xfId="6207" xr:uid="{806DA27C-EC9C-45CD-8C28-62D479113117}"/>
    <cellStyle name="Millares 68 3 12 2 2 2" xfId="10775" xr:uid="{316F54E2-FD1F-443A-B868-670DB94D0F22}"/>
    <cellStyle name="Millares 68 3 12 2 3" xfId="8483" xr:uid="{2603C4AD-E965-4552-8049-9D5DB73D4E85}"/>
    <cellStyle name="Millares 68 3 12 3" xfId="3545" xr:uid="{F4C97B5E-7A1B-4DED-ADBB-E5DF8B80C8F9}"/>
    <cellStyle name="Millares 68 3 12 3 2" xfId="5969" xr:uid="{1F3DA52C-2361-4643-816E-CAFFBE8843A6}"/>
    <cellStyle name="Millares 68 3 12 3 2 2" xfId="10537" xr:uid="{9FD1654C-2320-43F7-812D-FED8A68FE541}"/>
    <cellStyle name="Millares 68 3 12 3 3" xfId="8245" xr:uid="{EE08132B-ABC8-4502-AB6D-C7691343E580}"/>
    <cellStyle name="Millares 68 3 12 4" xfId="4960" xr:uid="{50A15D3F-6ACD-4BF5-A403-637FCE64E0B2}"/>
    <cellStyle name="Millares 68 3 12 4 2" xfId="9528" xr:uid="{A2A3D859-0649-4CC4-81B8-4D0194FC18E6}"/>
    <cellStyle name="Millares 68 3 12 5" xfId="7236" xr:uid="{09E3DD27-B459-4AC6-A3C6-27DCB4F5A6D2}"/>
    <cellStyle name="Millares 68 3 13" xfId="2536" xr:uid="{10377965-69E3-45B5-9BFC-BB869C6A6AA3}"/>
    <cellStyle name="Millares 68 3 13 2" xfId="3915" xr:uid="{29913A39-5201-4F07-9283-E30684948095}"/>
    <cellStyle name="Millares 68 3 13 2 2" xfId="6209" xr:uid="{48436D5A-B1D8-46BE-982B-C5289510DEE2}"/>
    <cellStyle name="Millares 68 3 13 2 2 2" xfId="10777" xr:uid="{455E1E8D-9A67-4853-96E3-4DA8BF639982}"/>
    <cellStyle name="Millares 68 3 13 2 3" xfId="8485" xr:uid="{8CA939D6-D2FB-441E-A80D-190EB20CE919}"/>
    <cellStyle name="Millares 68 3 13 3" xfId="3547" xr:uid="{61476166-7920-4874-B890-5FD62B93536B}"/>
    <cellStyle name="Millares 68 3 13 3 2" xfId="5971" xr:uid="{C6AF8C6E-40FF-47D3-943D-96EBFE8AC12F}"/>
    <cellStyle name="Millares 68 3 13 3 2 2" xfId="10539" xr:uid="{CE187F97-84EE-4C92-B99F-93F8052EE2F5}"/>
    <cellStyle name="Millares 68 3 13 3 3" xfId="8247" xr:uid="{0C5E63ED-F3A0-4AAA-97C1-C2814F982389}"/>
    <cellStyle name="Millares 68 3 13 4" xfId="4962" xr:uid="{0644A09A-5E29-4F50-8525-301C4EE1C4A1}"/>
    <cellStyle name="Millares 68 3 13 4 2" xfId="9530" xr:uid="{9A9A3C02-3D63-4808-ACA2-C2F3F2C94B1D}"/>
    <cellStyle name="Millares 68 3 13 5" xfId="7238" xr:uid="{68ED7972-B841-493E-831E-3395F861C12C}"/>
    <cellStyle name="Millares 68 3 14" xfId="2538" xr:uid="{F2FA51AA-EF7E-4F9E-B45C-F245C278D674}"/>
    <cellStyle name="Millares 68 3 14 2" xfId="3917" xr:uid="{64501224-9717-4A2A-9BC5-A2C608FB1C11}"/>
    <cellStyle name="Millares 68 3 14 2 2" xfId="6211" xr:uid="{13101FFD-2706-469D-848B-1C76FE649DB3}"/>
    <cellStyle name="Millares 68 3 14 2 2 2" xfId="10779" xr:uid="{D4755B1F-A03D-4297-9F33-6230A2D0A812}"/>
    <cellStyle name="Millares 68 3 14 2 3" xfId="8487" xr:uid="{D4410BA2-92B8-42AF-AA4B-DD29869036E0}"/>
    <cellStyle name="Millares 68 3 14 3" xfId="3549" xr:uid="{0E83F2FB-0438-4645-BE83-ED933F3AE97E}"/>
    <cellStyle name="Millares 68 3 14 3 2" xfId="5973" xr:uid="{D86C7A6A-BA2C-4D9B-898F-513D216EA635}"/>
    <cellStyle name="Millares 68 3 14 3 2 2" xfId="10541" xr:uid="{A5D6B229-6F5F-454E-8B9F-A6ACD31664CA}"/>
    <cellStyle name="Millares 68 3 14 3 3" xfId="8249" xr:uid="{CAE08575-8162-4CAA-A242-BDFFB11A8C7F}"/>
    <cellStyle name="Millares 68 3 14 4" xfId="4964" xr:uid="{E7F50450-5C99-4E77-B559-D58255A6018C}"/>
    <cellStyle name="Millares 68 3 14 4 2" xfId="9532" xr:uid="{6976B7E7-52D2-4D17-AD96-C77A6AA9F9AD}"/>
    <cellStyle name="Millares 68 3 14 5" xfId="7240" xr:uid="{455A0F38-E068-4E56-B55C-F2B753CFCA86}"/>
    <cellStyle name="Millares 68 3 15" xfId="2540" xr:uid="{A3505AD2-B089-42FC-9C2F-2D8ECB1806A8}"/>
    <cellStyle name="Millares 68 3 15 2" xfId="3919" xr:uid="{6B6B6934-2570-48A7-8CB5-19DCC42B4F03}"/>
    <cellStyle name="Millares 68 3 15 2 2" xfId="6213" xr:uid="{75C95AB1-4676-4588-A1F7-A323FBA0E509}"/>
    <cellStyle name="Millares 68 3 15 2 2 2" xfId="10781" xr:uid="{720E52B2-AF5D-4120-B4AB-4F26D79D5F83}"/>
    <cellStyle name="Millares 68 3 15 2 3" xfId="8489" xr:uid="{2DE7642B-4D90-4FB2-9ADF-1BDA49A02BB5}"/>
    <cellStyle name="Millares 68 3 15 3" xfId="3551" xr:uid="{B2DA9BAA-7D12-4360-A59D-FF4A7DFCB23F}"/>
    <cellStyle name="Millares 68 3 15 3 2" xfId="5975" xr:uid="{7C28B139-CABC-4E47-8F56-E2261D926D6B}"/>
    <cellStyle name="Millares 68 3 15 3 2 2" xfId="10543" xr:uid="{B6BE2035-4902-4ABB-9353-24DD3EDFC956}"/>
    <cellStyle name="Millares 68 3 15 3 3" xfId="8251" xr:uid="{0D06BEA4-9D3F-4C3D-A084-4DAD34237C5C}"/>
    <cellStyle name="Millares 68 3 15 4" xfId="4966" xr:uid="{6AD00EF9-3DA9-4CD0-8190-1DC4049A499F}"/>
    <cellStyle name="Millares 68 3 15 4 2" xfId="9534" xr:uid="{F39F63B6-7D51-492A-9F58-8AEE5D68F7B6}"/>
    <cellStyle name="Millares 68 3 15 5" xfId="7242" xr:uid="{777E8121-EB74-4EBC-98E1-735FADB5F730}"/>
    <cellStyle name="Millares 68 3 16" xfId="2542" xr:uid="{9C8EE041-A68A-4373-B859-A4058826A871}"/>
    <cellStyle name="Millares 68 3 16 2" xfId="3921" xr:uid="{651C3F2F-7627-48CF-882D-F3E5F33D09B9}"/>
    <cellStyle name="Millares 68 3 16 2 2" xfId="6215" xr:uid="{C2852E6D-893D-43B1-90D7-6D4037F95958}"/>
    <cellStyle name="Millares 68 3 16 2 2 2" xfId="10783" xr:uid="{8922FE06-7C2C-4066-881B-D13EA1903B6E}"/>
    <cellStyle name="Millares 68 3 16 2 3" xfId="8491" xr:uid="{9402B244-0BFF-4D6A-9EA4-E4BAAF01E18D}"/>
    <cellStyle name="Millares 68 3 16 3" xfId="3553" xr:uid="{4D62ADD7-9536-4F22-90C9-762D0938FF84}"/>
    <cellStyle name="Millares 68 3 16 3 2" xfId="5977" xr:uid="{1BA5FDCB-C751-40B5-BDE8-26A318102137}"/>
    <cellStyle name="Millares 68 3 16 3 2 2" xfId="10545" xr:uid="{A0689515-5E99-491B-A5B8-59AAEB9ABD28}"/>
    <cellStyle name="Millares 68 3 16 3 3" xfId="8253" xr:uid="{49DA538F-9F1D-4236-9960-0E2E69B163C2}"/>
    <cellStyle name="Millares 68 3 16 4" xfId="4968" xr:uid="{B27AB4DD-E9B2-49B8-B1C5-203AAC1CE03F}"/>
    <cellStyle name="Millares 68 3 16 4 2" xfId="9536" xr:uid="{83AA1773-E21A-465F-986C-C7A9246015D4}"/>
    <cellStyle name="Millares 68 3 16 5" xfId="7244" xr:uid="{132A8ED1-C614-4303-8E3F-45D08D3E3530}"/>
    <cellStyle name="Millares 68 3 17" xfId="2544" xr:uid="{5D9BB435-6A29-4EB1-AAC6-616D07962B89}"/>
    <cellStyle name="Millares 68 3 17 2" xfId="3923" xr:uid="{A79F3EED-CDAE-4C30-B7F1-90DF483F85B0}"/>
    <cellStyle name="Millares 68 3 17 2 2" xfId="6217" xr:uid="{AA6AF9EB-514E-4A5A-8D9D-F7F25A75D6A3}"/>
    <cellStyle name="Millares 68 3 17 2 2 2" xfId="10785" xr:uid="{86EC9DBB-5316-459C-ADC3-7BA5602ECD4D}"/>
    <cellStyle name="Millares 68 3 17 2 3" xfId="8493" xr:uid="{D75C4918-C60E-44C4-806E-76DBE1266EF8}"/>
    <cellStyle name="Millares 68 3 17 3" xfId="3555" xr:uid="{9AC508E0-56D7-423E-8740-6A78A08F8F81}"/>
    <cellStyle name="Millares 68 3 17 3 2" xfId="5979" xr:uid="{A1794FBC-B3AC-4736-BB02-CC413519B088}"/>
    <cellStyle name="Millares 68 3 17 3 2 2" xfId="10547" xr:uid="{5C22003D-34B3-435F-B455-6AE060AB4E3A}"/>
    <cellStyle name="Millares 68 3 17 3 3" xfId="8255" xr:uid="{A85D0D6D-2203-4E3B-B7B5-FD35D014B7C3}"/>
    <cellStyle name="Millares 68 3 17 4" xfId="4970" xr:uid="{FE399243-1008-4DD2-BF4F-07B02FB3A003}"/>
    <cellStyle name="Millares 68 3 17 4 2" xfId="9538" xr:uid="{BBE1AA7F-D002-4F11-8514-25329229529F}"/>
    <cellStyle name="Millares 68 3 17 5" xfId="7246" xr:uid="{9353B6E7-FB0C-4103-A548-B884E8811746}"/>
    <cellStyle name="Millares 68 3 18" xfId="2546" xr:uid="{5043331C-9BE4-470E-91D6-E098796A3EDA}"/>
    <cellStyle name="Millares 68 3 18 2" xfId="3925" xr:uid="{08DC0D82-3DE1-4DB6-9F8E-A93837BFBDC1}"/>
    <cellStyle name="Millares 68 3 18 2 2" xfId="6219" xr:uid="{38ADF12C-D6C2-4CA0-B8A8-729C89DEE469}"/>
    <cellStyle name="Millares 68 3 18 2 2 2" xfId="10787" xr:uid="{CFA3903B-E2D3-47E5-B026-790C12529ACB}"/>
    <cellStyle name="Millares 68 3 18 2 3" xfId="8495" xr:uid="{D6B44975-6569-4F85-A914-D69BF3F34B6B}"/>
    <cellStyle name="Millares 68 3 18 3" xfId="3557" xr:uid="{8377ECFC-983F-40BF-9A1A-3CD00892A924}"/>
    <cellStyle name="Millares 68 3 18 3 2" xfId="5981" xr:uid="{8E9C0A4D-DD84-440D-8268-4A9099C52D6C}"/>
    <cellStyle name="Millares 68 3 18 3 2 2" xfId="10549" xr:uid="{D5575237-C0D0-4728-9139-0DE97051ADF8}"/>
    <cellStyle name="Millares 68 3 18 3 3" xfId="8257" xr:uid="{4A2C5D58-88EA-4A81-AD7E-15047696E245}"/>
    <cellStyle name="Millares 68 3 18 4" xfId="4972" xr:uid="{2A08685E-20E3-433D-87C5-A1414EDF9430}"/>
    <cellStyle name="Millares 68 3 18 4 2" xfId="9540" xr:uid="{508A8693-F501-448E-9BC8-0EB97E5BAEDB}"/>
    <cellStyle name="Millares 68 3 18 5" xfId="7248" xr:uid="{13CD847B-7FDA-45A8-BB4D-DA5CD7AA926B}"/>
    <cellStyle name="Millares 68 3 19" xfId="1141" xr:uid="{00000000-0005-0000-0000-0000BE020000}"/>
    <cellStyle name="Millares 68 3 19 2" xfId="3927" xr:uid="{B1A555A0-A3F9-4C97-8DB7-7EB6078EAD99}"/>
    <cellStyle name="Millares 68 3 19 2 2" xfId="6221" xr:uid="{9CEBBBBA-47F8-47FF-A190-544EA234AC8D}"/>
    <cellStyle name="Millares 68 3 19 2 2 2" xfId="10789" xr:uid="{ACDE852F-1A1B-48E6-8069-B2C520455E3D}"/>
    <cellStyle name="Millares 68 3 19 2 3" xfId="8497" xr:uid="{69C8CF8B-34B2-4054-B54D-BA556C550576}"/>
    <cellStyle name="Millares 68 3 19 3" xfId="3559" xr:uid="{25B86500-AA6C-4E51-B286-CC0A0B17801E}"/>
    <cellStyle name="Millares 68 3 19 3 2" xfId="5983" xr:uid="{86F0E82E-0F33-4014-ABFA-A1200490C75D}"/>
    <cellStyle name="Millares 68 3 19 3 2 2" xfId="10551" xr:uid="{0EF2F20F-FDB2-427E-8553-15462554D25B}"/>
    <cellStyle name="Millares 68 3 19 3 3" xfId="8259" xr:uid="{27FF0CAE-7E44-41B2-AE3D-6A745A3A7D12}"/>
    <cellStyle name="Millares 68 3 19 4" xfId="4974" xr:uid="{C53837EB-EC40-4311-A7EA-B11ED8E83BFD}"/>
    <cellStyle name="Millares 68 3 19 4 2" xfId="9542" xr:uid="{66F96151-7517-4359-A19E-EBF70D04C06D}"/>
    <cellStyle name="Millares 68 3 19 5" xfId="7250" xr:uid="{ED6783D0-C14C-44CD-8CA6-367AC7E5A5B6}"/>
    <cellStyle name="Millares 68 3 19 6" xfId="2548" xr:uid="{CE346A62-E610-403B-803F-02D7DF6E3008}"/>
    <cellStyle name="Millares 68 3 2" xfId="1114" xr:uid="{00000000-0005-0000-0000-0000BF020000}"/>
    <cellStyle name="Millares 68 3 2 2" xfId="2518" xr:uid="{1C55FB02-4024-468B-BBF4-4720783726F0}"/>
    <cellStyle name="Millares 68 3 2 2 2" xfId="3897" xr:uid="{547D2615-3908-49E3-B1A8-79F3DA5B85D8}"/>
    <cellStyle name="Millares 68 3 2 2 2 2" xfId="6191" xr:uid="{B0B2826C-DED3-42C2-A9A3-5421C0637940}"/>
    <cellStyle name="Millares 68 3 2 2 2 2 2" xfId="10759" xr:uid="{BC18C604-8B2D-401D-B39D-11FB4B89C419}"/>
    <cellStyle name="Millares 68 3 2 2 2 3" xfId="8467" xr:uid="{1F9CE5BB-6792-4C75-AA32-40F8427A7562}"/>
    <cellStyle name="Millares 68 3 2 2 3" xfId="3529" xr:uid="{A7D8803B-9EA7-4AFB-81BE-56B61858D75A}"/>
    <cellStyle name="Millares 68 3 2 2 3 2" xfId="5953" xr:uid="{2AEC0ABE-FA08-4060-A662-1F8632ABE1B5}"/>
    <cellStyle name="Millares 68 3 2 2 3 2 2" xfId="10521" xr:uid="{49880B5F-47AB-4362-A742-654B9F89E141}"/>
    <cellStyle name="Millares 68 3 2 2 3 3" xfId="8229" xr:uid="{A2C1A4B6-3F15-4D72-BBD7-A9473F10D6B2}"/>
    <cellStyle name="Millares 68 3 2 2 4" xfId="4944" xr:uid="{D185272D-88AD-4D0A-94F7-CBD16A128107}"/>
    <cellStyle name="Millares 68 3 2 2 4 2" xfId="9512" xr:uid="{CC05B543-B7D5-49EC-884A-35A98303C5DC}"/>
    <cellStyle name="Millares 68 3 2 2 5" xfId="7220" xr:uid="{F37E61AA-3FC2-4F2F-90A9-79BF28474780}"/>
    <cellStyle name="Millares 68 3 2 3" xfId="3682" xr:uid="{2E1559F8-096F-4DEA-9821-FCFAE46EC0F8}"/>
    <cellStyle name="Millares 68 3 2 3 2" xfId="6085" xr:uid="{613B22B2-DE18-4F07-839A-3F89BE4489F4}"/>
    <cellStyle name="Millares 68 3 2 3 2 2" xfId="10653" xr:uid="{12899358-D3C0-4BBA-80D1-451972FCAB4A}"/>
    <cellStyle name="Millares 68 3 2 3 3" xfId="8361" xr:uid="{707B524D-2E13-4B47-BC71-538BF342EBAB}"/>
    <cellStyle name="Millares 68 3 2 4" xfId="3101" xr:uid="{7AFDB677-E04F-427F-82FD-8BF867954678}"/>
    <cellStyle name="Millares 68 3 2 4 2" xfId="5525" xr:uid="{BA073F32-D95B-491A-9F75-9CDBACF292DE}"/>
    <cellStyle name="Millares 68 3 2 4 2 2" xfId="10093" xr:uid="{3CD80ABD-6BE9-416A-B5B4-78D0E1FD0F58}"/>
    <cellStyle name="Millares 68 3 2 4 3" xfId="7801" xr:uid="{D64175D9-8A56-4A74-8B90-632E459CF761}"/>
    <cellStyle name="Millares 68 3 2 5" xfId="4516" xr:uid="{F48FC1AD-79D8-4A1A-9FB7-029D491A51EF}"/>
    <cellStyle name="Millares 68 3 2 5 2" xfId="9084" xr:uid="{A3CC8367-73A9-43D3-9574-2CCD563FDD02}"/>
    <cellStyle name="Millares 68 3 2 6" xfId="6792" xr:uid="{1C2C1463-FA65-4E43-8BDB-75FD0D5EB340}"/>
    <cellStyle name="Millares 68 3 2 7" xfId="1981" xr:uid="{CF859DB8-814E-4B87-B47A-382D586806DD}"/>
    <cellStyle name="Millares 68 3 20" xfId="2550" xr:uid="{FE600439-F9BE-4576-BA94-B84DCB799480}"/>
    <cellStyle name="Millares 68 3 20 2" xfId="3929" xr:uid="{54813C4B-1E6F-4598-84F1-3A89EF2FCBE0}"/>
    <cellStyle name="Millares 68 3 20 2 2" xfId="6223" xr:uid="{1465A68D-0FCF-4DC7-8BC1-81155A99DCDD}"/>
    <cellStyle name="Millares 68 3 20 2 2 2" xfId="10791" xr:uid="{6755646E-30D5-484E-80E9-8B3DFE7AAC7B}"/>
    <cellStyle name="Millares 68 3 20 2 3" xfId="8499" xr:uid="{FE86B94F-ABC1-415F-8CF6-80A7A7562505}"/>
    <cellStyle name="Millares 68 3 20 3" xfId="3561" xr:uid="{2FAE3E0F-5BC6-48ED-A5CD-823BDF84274F}"/>
    <cellStyle name="Millares 68 3 20 3 2" xfId="5985" xr:uid="{A9213997-76F2-4A3E-9C10-A7C62A4BD8EA}"/>
    <cellStyle name="Millares 68 3 20 3 2 2" xfId="10553" xr:uid="{34F64207-18BF-4710-9D9A-1848DB45B6CB}"/>
    <cellStyle name="Millares 68 3 20 3 3" xfId="8261" xr:uid="{5ADC4221-0A1F-4B19-9D06-683FC20F6929}"/>
    <cellStyle name="Millares 68 3 20 4" xfId="4976" xr:uid="{A2FB4796-D484-42D1-B86E-599820972433}"/>
    <cellStyle name="Millares 68 3 20 4 2" xfId="9544" xr:uid="{1047388E-92A4-4F23-AF95-DD6532213945}"/>
    <cellStyle name="Millares 68 3 20 5" xfId="7252" xr:uid="{B64D8966-BB1B-40B2-A207-EC7996CB0E64}"/>
    <cellStyle name="Millares 68 3 21" xfId="2552" xr:uid="{AB0F6240-D578-495A-BD52-46D8D3232AFC}"/>
    <cellStyle name="Millares 68 3 21 2" xfId="3931" xr:uid="{EECDB35F-F9EC-4049-BFA8-A6FD97EB5DF3}"/>
    <cellStyle name="Millares 68 3 21 2 2" xfId="6225" xr:uid="{25D86C92-C182-4628-9A3A-E60C683CD84E}"/>
    <cellStyle name="Millares 68 3 21 2 2 2" xfId="10793" xr:uid="{8CA236B2-D9A6-474D-9433-B953C44B2506}"/>
    <cellStyle name="Millares 68 3 21 2 3" xfId="8501" xr:uid="{579FE637-C17A-45D1-A6D2-AF43D8712098}"/>
    <cellStyle name="Millares 68 3 21 3" xfId="3563" xr:uid="{59A0F109-EE3D-4E85-927B-705244163C1C}"/>
    <cellStyle name="Millares 68 3 21 3 2" xfId="5987" xr:uid="{DA8CE360-D5E9-43B1-BE05-C0CB6A7BC020}"/>
    <cellStyle name="Millares 68 3 21 3 2 2" xfId="10555" xr:uid="{F875379F-DB96-48B1-ABF3-7C0B59D28D62}"/>
    <cellStyle name="Millares 68 3 21 3 3" xfId="8263" xr:uid="{314C1E73-E623-4425-9C3B-CA7382EC1878}"/>
    <cellStyle name="Millares 68 3 21 4" xfId="4978" xr:uid="{EE59F146-3A84-4F80-9C1E-2C042084EC4C}"/>
    <cellStyle name="Millares 68 3 21 4 2" xfId="9546" xr:uid="{54C4EDFD-470E-43B4-949A-AFF270FD823B}"/>
    <cellStyle name="Millares 68 3 21 5" xfId="7254" xr:uid="{A681E725-92F0-42D8-AC07-33B67C8546A0}"/>
    <cellStyle name="Millares 68 3 22" xfId="2554" xr:uid="{4E24C3EC-9E14-46C6-9BE1-AD14F9EDF3F9}"/>
    <cellStyle name="Millares 68 3 22 2" xfId="3933" xr:uid="{847C45DB-79EB-4FD4-A8EE-7BB82DD112BA}"/>
    <cellStyle name="Millares 68 3 22 2 2" xfId="6227" xr:uid="{04730216-9A0E-4A6D-9749-D9C312E6197C}"/>
    <cellStyle name="Millares 68 3 22 2 2 2" xfId="10795" xr:uid="{39C088A7-EC1F-4C2D-9D9F-2C4AEA3A0B77}"/>
    <cellStyle name="Millares 68 3 22 2 3" xfId="8503" xr:uid="{E119D740-1A94-4CB6-842E-B277483F0D85}"/>
    <cellStyle name="Millares 68 3 22 3" xfId="3565" xr:uid="{3312180F-94F0-4721-A8E1-0C0FC982B00C}"/>
    <cellStyle name="Millares 68 3 22 3 2" xfId="5989" xr:uid="{2D02BB50-9924-4992-9879-C49B6ACE2686}"/>
    <cellStyle name="Millares 68 3 22 3 2 2" xfId="10557" xr:uid="{292544D2-8EC0-46AC-B0EB-0885B06D8E5B}"/>
    <cellStyle name="Millares 68 3 22 3 3" xfId="8265" xr:uid="{8F2E857B-A5AD-457C-89B7-1FB2A0528D30}"/>
    <cellStyle name="Millares 68 3 22 4" xfId="4980" xr:uid="{D6689F14-0411-4DEE-8B88-A614D2945E62}"/>
    <cellStyle name="Millares 68 3 22 4 2" xfId="9548" xr:uid="{10944D5B-8F93-4348-A415-395F5AB24B76}"/>
    <cellStyle name="Millares 68 3 22 5" xfId="7256" xr:uid="{6FCFED32-EBA2-4063-AA44-DBC915350AF6}"/>
    <cellStyle name="Millares 68 3 23" xfId="2556" xr:uid="{97AFF9D7-4FC2-47B5-A006-A3010635726A}"/>
    <cellStyle name="Millares 68 3 23 2" xfId="3935" xr:uid="{EC223C2C-5327-4F89-A5EE-02DC0DC43AB3}"/>
    <cellStyle name="Millares 68 3 23 2 2" xfId="6229" xr:uid="{33DFFC7F-267C-4FCB-8E0B-857F837AB22A}"/>
    <cellStyle name="Millares 68 3 23 2 2 2" xfId="10797" xr:uid="{2C692A0E-98C1-48C5-8EE3-EB6CFB17B0F5}"/>
    <cellStyle name="Millares 68 3 23 2 3" xfId="8505" xr:uid="{3333BBB7-EAA1-4340-83F8-4CF19238D2EE}"/>
    <cellStyle name="Millares 68 3 23 3" xfId="3567" xr:uid="{56DA45D2-80D5-4348-8E1F-E43572986A18}"/>
    <cellStyle name="Millares 68 3 23 3 2" xfId="5991" xr:uid="{99B67735-CA83-41B2-83C5-F26C59C14314}"/>
    <cellStyle name="Millares 68 3 23 3 2 2" xfId="10559" xr:uid="{DDC07D13-CA36-4BEF-AECE-7222C5418D86}"/>
    <cellStyle name="Millares 68 3 23 3 3" xfId="8267" xr:uid="{242EF384-E7F8-48E7-9191-29984E2C2A7C}"/>
    <cellStyle name="Millares 68 3 23 4" xfId="4982" xr:uid="{CEBCA74E-0BCE-4074-BCBD-CC453F4D1D4F}"/>
    <cellStyle name="Millares 68 3 23 4 2" xfId="9550" xr:uid="{A159D728-3A71-4132-AD09-2584109CFAFB}"/>
    <cellStyle name="Millares 68 3 23 5" xfId="7258" xr:uid="{2E8FEEE8-F9E4-43BE-B682-8C514841DD5E}"/>
    <cellStyle name="Millares 68 3 24" xfId="2558" xr:uid="{DACC7F8C-17C2-4ED9-95E6-6296BCC1B69A}"/>
    <cellStyle name="Millares 68 3 24 2" xfId="3937" xr:uid="{9BF4383A-0C90-4752-A607-D6087250D27D}"/>
    <cellStyle name="Millares 68 3 24 2 2" xfId="6231" xr:uid="{7EFC20B3-0030-40B9-8353-245D263248DB}"/>
    <cellStyle name="Millares 68 3 24 2 2 2" xfId="10799" xr:uid="{88D8D59A-FC30-45A0-90DD-F2BE1A8092F0}"/>
    <cellStyle name="Millares 68 3 24 2 3" xfId="8507" xr:uid="{17AE731A-01B0-4EE1-A80B-A95409F324BE}"/>
    <cellStyle name="Millares 68 3 24 3" xfId="3569" xr:uid="{4E098037-7171-4412-AC7B-FB2FE820C533}"/>
    <cellStyle name="Millares 68 3 24 3 2" xfId="5993" xr:uid="{B449E222-117C-4F3A-920B-EEF1BCBB89C7}"/>
    <cellStyle name="Millares 68 3 24 3 2 2" xfId="10561" xr:uid="{9437B99D-077A-43E0-A98F-4803C1B88EEA}"/>
    <cellStyle name="Millares 68 3 24 3 3" xfId="8269" xr:uid="{2D9DD1F0-6CAD-47BF-AB20-BA52C44E9501}"/>
    <cellStyle name="Millares 68 3 24 4" xfId="4984" xr:uid="{0FFDE51E-0CCA-4BA4-80C5-3ED20B754FE2}"/>
    <cellStyle name="Millares 68 3 24 4 2" xfId="9552" xr:uid="{50B22DB9-45D4-4D30-BAEC-F508481DC415}"/>
    <cellStyle name="Millares 68 3 24 5" xfId="7260" xr:uid="{023A668E-7245-4327-B8F2-A3FA31F4A8AF}"/>
    <cellStyle name="Millares 68 3 25" xfId="1161" xr:uid="{00000000-0005-0000-0000-0000C0020000}"/>
    <cellStyle name="Millares 68 3 25 10" xfId="2579" xr:uid="{B8F3AEB9-BF39-4C35-A58D-E3601D6955F8}"/>
    <cellStyle name="Millares 68 3 25 10 2" xfId="5005" xr:uid="{D9BEA173-DD45-4A43-840A-803B143F1A0A}"/>
    <cellStyle name="Millares 68 3 25 10 2 2" xfId="9573" xr:uid="{54D1084D-D493-4B7D-B583-4BB13F9DEE15}"/>
    <cellStyle name="Millares 68 3 25 10 3" xfId="7281" xr:uid="{93186AED-3DB9-46BB-A9D9-034B3C207BD8}"/>
    <cellStyle name="Millares 68 3 25 11" xfId="1191" xr:uid="{00000000-0005-0000-0000-0000C1020000}"/>
    <cellStyle name="Millares 68 3 25 11 2" xfId="5007" xr:uid="{7CD8232B-90A7-4356-9F60-2B260C4146BC}"/>
    <cellStyle name="Millares 68 3 25 11 2 2" xfId="9575" xr:uid="{1B39F9B6-3D2B-47B5-8A97-1B08B81DD9AD}"/>
    <cellStyle name="Millares 68 3 25 11 3" xfId="7283" xr:uid="{998DFEB8-ECA0-44DF-846E-C562E9667FA0}"/>
    <cellStyle name="Millares 68 3 25 11 4" xfId="2581" xr:uid="{AFB10F99-9A71-47B3-B3FC-9D7E80BADB3B}"/>
    <cellStyle name="Millares 68 3 25 12" xfId="2584" xr:uid="{185DC9D6-6B32-4BBB-9F46-16A833848869}"/>
    <cellStyle name="Millares 68 3 25 12 2" xfId="5010" xr:uid="{EFFBD804-4B35-4FAE-BCE0-956B08835580}"/>
    <cellStyle name="Millares 68 3 25 12 2 2" xfId="9578" xr:uid="{BB1D0D99-0A64-4A48-88F4-E3D06893EF03}"/>
    <cellStyle name="Millares 68 3 25 12 3" xfId="7286" xr:uid="{5C1D26C4-D0B9-45B3-915A-83E6C97B439C}"/>
    <cellStyle name="Millares 68 3 25 13" xfId="2586" xr:uid="{CFEC1E2B-3469-4593-ACF5-D33661917BAA}"/>
    <cellStyle name="Millares 68 3 25 13 2" xfId="5012" xr:uid="{7CA28249-E76E-49D3-9A63-BDFB6F36F327}"/>
    <cellStyle name="Millares 68 3 25 13 2 2" xfId="9580" xr:uid="{39950A0C-5732-4587-A36C-28FD1AD66605}"/>
    <cellStyle name="Millares 68 3 25 13 3" xfId="7288" xr:uid="{E8B6473D-2A0F-4D08-B918-3DF6A876ECEB}"/>
    <cellStyle name="Millares 68 3 25 14" xfId="2588" xr:uid="{361585F6-5C36-458F-AD34-51928DDB3A0C}"/>
    <cellStyle name="Millares 68 3 25 14 2" xfId="5014" xr:uid="{C61F0125-701B-474F-A601-1454EBB599DF}"/>
    <cellStyle name="Millares 68 3 25 14 2 2" xfId="9582" xr:uid="{B3B49372-5EFB-44AB-A37E-967CF00264CE}"/>
    <cellStyle name="Millares 68 3 25 14 3" xfId="7290" xr:uid="{D207D3A9-4DBD-4D47-BBD8-1F36CD0CEF64}"/>
    <cellStyle name="Millares 68 3 25 15" xfId="2590" xr:uid="{A644FF4F-5D93-4668-B4B2-D33803D858B7}"/>
    <cellStyle name="Millares 68 3 25 15 2" xfId="5016" xr:uid="{9E6FF535-3A4E-4E99-BDC8-F3080EDFB5AE}"/>
    <cellStyle name="Millares 68 3 25 15 2 2" xfId="9584" xr:uid="{E92CDA93-A4A8-4B8F-A2FC-6DE02D9CA805}"/>
    <cellStyle name="Millares 68 3 25 15 3" xfId="7292" xr:uid="{C50D46B9-6468-42A0-A9B2-4CBCDD477FFC}"/>
    <cellStyle name="Millares 68 3 25 16" xfId="2592" xr:uid="{AC0E18D7-0BF6-4DE4-8B03-7B56673EE53F}"/>
    <cellStyle name="Millares 68 3 25 16 2" xfId="5018" xr:uid="{3490FE8F-6BF4-41BE-B748-0BABD966B428}"/>
    <cellStyle name="Millares 68 3 25 16 2 2" xfId="9586" xr:uid="{BB053A9F-A5D0-4253-9FB5-126113555B33}"/>
    <cellStyle name="Millares 68 3 25 16 3" xfId="7294" xr:uid="{40158D68-2298-4470-A52C-0E59442525EC}"/>
    <cellStyle name="Millares 68 3 25 17" xfId="2654" xr:uid="{79AF405C-035B-40C5-8F6D-75625C8F621C}"/>
    <cellStyle name="Millares 68 3 25 17 2" xfId="5080" xr:uid="{4489B84F-D3A3-47F1-B637-532CAC912154}"/>
    <cellStyle name="Millares 68 3 25 17 2 2" xfId="9648" xr:uid="{7A15FA36-A3AD-4A34-8A39-0EF48050E7CE}"/>
    <cellStyle name="Millares 68 3 25 17 3" xfId="7356" xr:uid="{B5641DA1-857D-4411-A55E-79527B8A7F7E}"/>
    <cellStyle name="Millares 68 3 25 18" xfId="2658" xr:uid="{B3A775FF-FB2B-4FDA-B2D1-2BFA3E1AD504}"/>
    <cellStyle name="Millares 68 3 25 18 2" xfId="5084" xr:uid="{90B208EC-8955-4801-A667-D277FE2B27DF}"/>
    <cellStyle name="Millares 68 3 25 18 2 2" xfId="9652" xr:uid="{E50C0FA8-1FEB-4CED-9F9E-7F4D328E3DB2}"/>
    <cellStyle name="Millares 68 3 25 18 3" xfId="7360" xr:uid="{06A488C1-94F8-4F19-9918-A5F37D7D128E}"/>
    <cellStyle name="Millares 68 3 25 19" xfId="1231" xr:uid="{00000000-0005-0000-0000-0000C2020000}"/>
    <cellStyle name="Millares 68 3 25 19 2" xfId="5088" xr:uid="{8581D8FF-D92F-481E-B347-1DEEBFBF890C}"/>
    <cellStyle name="Millares 68 3 25 19 2 2" xfId="9656" xr:uid="{8277174C-DCB1-4227-B7EE-972E75D679B1}"/>
    <cellStyle name="Millares 68 3 25 19 3" xfId="7364" xr:uid="{7D7BC94D-4A15-4368-AD0A-B7622E7E03DE}"/>
    <cellStyle name="Millares 68 3 25 19 4" xfId="2662" xr:uid="{96127775-42B2-4FD4-BC52-AA38D3AC2BB8}"/>
    <cellStyle name="Millares 68 3 25 2" xfId="1212" xr:uid="{00000000-0005-0000-0000-0000C3020000}"/>
    <cellStyle name="Millares 68 3 25 2 2" xfId="3942" xr:uid="{95C31286-7FDD-4B8A-A3F3-43DDC1CBE705}"/>
    <cellStyle name="Millares 68 3 25 2 2 2" xfId="6236" xr:uid="{698AA571-A63B-4BCC-8EE4-9BBDD8D77DE7}"/>
    <cellStyle name="Millares 68 3 25 2 2 2 2" xfId="10804" xr:uid="{11684AA2-50F4-416A-A50D-EF88D373D4FB}"/>
    <cellStyle name="Millares 68 3 25 2 2 3" xfId="8512" xr:uid="{9FC11EB6-EA68-430B-935C-91F71CF7DFCD}"/>
    <cellStyle name="Millares 68 3 25 2 3" xfId="3574" xr:uid="{EEDFCDF5-1B4D-4C6E-A9FE-EA92C03D09B2}"/>
    <cellStyle name="Millares 68 3 25 2 3 2" xfId="5998" xr:uid="{67B45026-343C-4483-9462-56A8EA079276}"/>
    <cellStyle name="Millares 68 3 25 2 3 2 2" xfId="10566" xr:uid="{428CE7F8-D3C2-4557-B018-BC617EC3C171}"/>
    <cellStyle name="Millares 68 3 25 2 3 3" xfId="8274" xr:uid="{DF018CBE-0E12-41CC-8A29-0B092137716A}"/>
    <cellStyle name="Millares 68 3 25 2 4" xfId="4989" xr:uid="{506EF771-ED91-4350-A6A6-30CF3E4926DA}"/>
    <cellStyle name="Millares 68 3 25 2 4 2" xfId="9557" xr:uid="{425CF5B0-D570-4685-A8C4-A5D91CAA45FC}"/>
    <cellStyle name="Millares 68 3 25 2 5" xfId="7265" xr:uid="{11AEA154-43AF-41E8-8F46-9E6F58FF526C}"/>
    <cellStyle name="Millares 68 3 25 2 6" xfId="2563" xr:uid="{24BD41FB-E4DC-4FB6-9EFF-FA62AD7A153C}"/>
    <cellStyle name="Millares 68 3 25 20" xfId="2672" xr:uid="{4E04BB67-EED5-4466-B7E0-5B32B7E9A0B0}"/>
    <cellStyle name="Millares 68 3 25 20 2" xfId="5098" xr:uid="{9B2FB7B4-F78D-4E6D-ACF2-6DE7CC993FD1}"/>
    <cellStyle name="Millares 68 3 25 20 2 2" xfId="9666" xr:uid="{375D551B-2F9C-48CC-B36F-39BE619D5E7C}"/>
    <cellStyle name="Millares 68 3 25 20 3" xfId="7374" xr:uid="{6BAFD6F7-55AA-4230-8308-755463879BBD}"/>
    <cellStyle name="Millares 68 3 25 21" xfId="3959" xr:uid="{708BD0CB-874F-42AA-8B32-D7D939BEB95E}"/>
    <cellStyle name="Millares 68 3 25 21 2" xfId="6253" xr:uid="{54862F48-05BA-4FC0-8576-B6B20B9DB5CA}"/>
    <cellStyle name="Millares 68 3 25 21 2 2" xfId="10821" xr:uid="{0342AF4C-8F8B-406D-BAD1-0D6D9313E817}"/>
    <cellStyle name="Millares 68 3 25 21 3" xfId="8529" xr:uid="{6CD8B242-2A6B-4722-8762-F91AB2A89760}"/>
    <cellStyle name="Millares 68 3 25 22" xfId="3967" xr:uid="{0000BB37-72C5-40F3-8276-4ABE173D5841}"/>
    <cellStyle name="Millares 68 3 25 22 2" xfId="6261" xr:uid="{698FAA13-DB8D-4171-AEDA-7D845C6304A0}"/>
    <cellStyle name="Millares 68 3 25 22 2 2" xfId="10829" xr:uid="{20043F32-B72C-401D-A104-B35373A34F48}"/>
    <cellStyle name="Millares 68 3 25 22 3" xfId="8537" xr:uid="{6D30ACF1-B39E-4961-9652-8D77BDAABCFB}"/>
    <cellStyle name="Millares 68 3 25 23" xfId="1242" xr:uid="{00000000-0005-0000-0000-0000C4020000}"/>
    <cellStyle name="Millares 68 3 25 23 2" xfId="6266" xr:uid="{8E1AC769-7214-4D32-BF1B-E866197BEEB3}"/>
    <cellStyle name="Millares 68 3 25 23 2 2" xfId="10834" xr:uid="{24940028-241E-4732-B82A-C57FB430E510}"/>
    <cellStyle name="Millares 68 3 25 23 3" xfId="8542" xr:uid="{AD29CDDD-EEB6-4859-A3D5-F83D1537E656}"/>
    <cellStyle name="Millares 68 3 25 23 4" xfId="3972" xr:uid="{09767169-F8A9-4E16-AFC5-D9BD721F70EF}"/>
    <cellStyle name="Millares 68 3 25 24" xfId="3977" xr:uid="{73A88FAC-D6E8-467E-B83F-28D3E8D70258}"/>
    <cellStyle name="Millares 68 3 25 24 2" xfId="6271" xr:uid="{AA5A9FCE-A512-41AE-947E-AF2DC2AE3C5D}"/>
    <cellStyle name="Millares 68 3 25 24 2 2" xfId="10839" xr:uid="{BA771E8D-B06A-491D-BEFF-82983A269818}"/>
    <cellStyle name="Millares 68 3 25 24 3" xfId="8547" xr:uid="{CFAB106B-9DF3-4B25-8C70-89EAD8E66CFF}"/>
    <cellStyle name="Millares 68 3 25 25" xfId="3982" xr:uid="{7311CDE8-BF28-49D2-8395-60202CB5CD8C}"/>
    <cellStyle name="Millares 68 3 25 25 2" xfId="6276" xr:uid="{DD0B383A-C148-483E-B29B-C613EA7794DD}"/>
    <cellStyle name="Millares 68 3 25 25 2 2" xfId="10844" xr:uid="{70166624-31A2-427E-9957-F06E539D31EC}"/>
    <cellStyle name="Millares 68 3 25 25 3" xfId="8552" xr:uid="{88624C88-41A2-4E12-855E-3B511EED7A26}"/>
    <cellStyle name="Millares 68 3 25 26" xfId="3987" xr:uid="{3E95CE5D-CCEA-489E-88E9-13FFC7A70177}"/>
    <cellStyle name="Millares 68 3 25 26 2" xfId="6281" xr:uid="{831ECA3F-45A7-4925-AB01-21D3896F2F73}"/>
    <cellStyle name="Millares 68 3 25 26 2 2" xfId="10849" xr:uid="{0680D4EB-2EDB-45FB-A162-AE3C55373CF3}"/>
    <cellStyle name="Millares 68 3 25 26 3" xfId="8557" xr:uid="{5823A98E-26F9-4417-BB81-C02FD41FE7BA}"/>
    <cellStyle name="Millares 68 3 25 27" xfId="3992" xr:uid="{0DB2CAE4-C8E8-4E8B-A2B4-E0A5C7253D5C}"/>
    <cellStyle name="Millares 68 3 25 27 2" xfId="6286" xr:uid="{CA098E75-F073-4C8F-B000-D54A5E934F8F}"/>
    <cellStyle name="Millares 68 3 25 27 2 2" xfId="10854" xr:uid="{477DAA06-01F2-46AF-A53C-9D2D990508D8}"/>
    <cellStyle name="Millares 68 3 25 27 3" xfId="8562" xr:uid="{36BFB6A6-3BE0-4197-950B-C3B6AEE4DE77}"/>
    <cellStyle name="Millares 68 3 25 28" xfId="3999" xr:uid="{AFD23C9A-8311-425D-AEF7-841D73C4179E}"/>
    <cellStyle name="Millares 68 3 25 28 2" xfId="6293" xr:uid="{BF766199-548D-481F-B311-96974D403940}"/>
    <cellStyle name="Millares 68 3 25 28 2 2" xfId="10861" xr:uid="{8A7BC59C-2E64-4E9E-8311-85254DFD486C}"/>
    <cellStyle name="Millares 68 3 25 28 3" xfId="8569" xr:uid="{7349FA02-354E-41CD-8A5C-E1F20EBB8860}"/>
    <cellStyle name="Millares 68 3 25 29" xfId="1262" xr:uid="{FEF0EBA3-E324-4A66-920D-9CB9BDA64FBE}"/>
    <cellStyle name="Millares 68 3 25 29 2" xfId="6298" xr:uid="{5A88555E-59AC-44BC-92E5-DFA9BFEE621D}"/>
    <cellStyle name="Millares 68 3 25 29 2 2" xfId="10866" xr:uid="{E90885B4-ADD2-4D1F-AEB3-3900673553B7}"/>
    <cellStyle name="Millares 68 3 25 29 3" xfId="8574" xr:uid="{8B46F8B8-5997-42C0-95CE-24F16514B89C}"/>
    <cellStyle name="Millares 68 3 25 29 4" xfId="4004" xr:uid="{69F62207-210E-4750-BA15-D8073357FC5F}"/>
    <cellStyle name="Millares 68 3 25 3" xfId="1253" xr:uid="{00000000-0005-0000-0000-0000C5020000}"/>
    <cellStyle name="Millares 68 3 25 3 2" xfId="3944" xr:uid="{E99C538B-625A-4632-99EF-7E47CED53C7D}"/>
    <cellStyle name="Millares 68 3 25 3 2 2" xfId="6238" xr:uid="{312BD170-9023-402D-9ADC-8387844A2B97}"/>
    <cellStyle name="Millares 68 3 25 3 2 2 2" xfId="10806" xr:uid="{D0A93D68-92CF-472C-9602-EF4846CCCE5A}"/>
    <cellStyle name="Millares 68 3 25 3 2 3" xfId="8514" xr:uid="{1F40F3F7-C3F8-4946-921A-48245A98DEAD}"/>
    <cellStyle name="Millares 68 3 25 3 3" xfId="3571" xr:uid="{E9930E58-EFAB-4709-8228-6F1901A729E6}"/>
    <cellStyle name="Millares 68 3 25 3 3 2" xfId="5995" xr:uid="{72DD5270-CA61-4DCB-AD93-28FD943C49A5}"/>
    <cellStyle name="Millares 68 3 25 3 3 2 2" xfId="10563" xr:uid="{77D5B1E6-5AF3-4DA2-85C1-F5DE2186EDFB}"/>
    <cellStyle name="Millares 68 3 25 3 3 3" xfId="8271" xr:uid="{3D2390A2-970E-49E0-8E9E-09DAD8DB6EBB}"/>
    <cellStyle name="Millares 68 3 25 3 4" xfId="4991" xr:uid="{165F7798-710F-49BE-962F-2054FB581EB0}"/>
    <cellStyle name="Millares 68 3 25 3 4 2" xfId="9559" xr:uid="{7B379C65-FEE5-462E-9330-2701FD100E3B}"/>
    <cellStyle name="Millares 68 3 25 3 5" xfId="7267" xr:uid="{7F5AE925-8BD8-489D-AF85-65869AE2441F}"/>
    <cellStyle name="Millares 68 3 25 3 6" xfId="2565" xr:uid="{DBDE65AE-628D-4BF2-9081-7688A98B645A}"/>
    <cellStyle name="Millares 68 3 25 30" xfId="4986" xr:uid="{80AD6956-FEA3-4D55-9556-0A7CD9B819EE}"/>
    <cellStyle name="Millares 68 3 25 30 2" xfId="9554" xr:uid="{A006CEAF-FE1E-4C7A-B924-80398529202D}"/>
    <cellStyle name="Millares 68 3 25 31" xfId="6305" xr:uid="{390C6590-08F1-4833-96E7-BECC11F98DFA}"/>
    <cellStyle name="Millares 68 3 25 31 2" xfId="10873" xr:uid="{D558C24A-7E51-46F4-9A3F-F5E076BFAA0B}"/>
    <cellStyle name="Millares 68 3 25 32" xfId="6310" xr:uid="{A6E0D402-0B74-45DC-816F-05A13F032DF0}"/>
    <cellStyle name="Millares 68 3 25 32 2" xfId="10878" xr:uid="{F7E77A34-389F-4670-B81F-54AB61BCD965}"/>
    <cellStyle name="Millares 68 3 25 33" xfId="6317" xr:uid="{33240E06-FB1F-4822-8EDA-117126051588}"/>
    <cellStyle name="Millares 68 3 25 33 2" xfId="10885" xr:uid="{CB6FF7A3-19E5-4277-9324-CFE3AD58BC18}"/>
    <cellStyle name="Millares 68 3 25 34" xfId="1292" xr:uid="{242EA23D-B005-49E1-84F9-E1085C6AAC7C}"/>
    <cellStyle name="Millares 68 3 25 34 2" xfId="10893" xr:uid="{DF05D6E8-5272-475F-A237-C4C2C37841C1}"/>
    <cellStyle name="Millares 68 3 25 34 3" xfId="6326" xr:uid="{8D33003F-CA43-485D-9F45-E0485AA791C3}"/>
    <cellStyle name="Millares 68 3 25 35" xfId="6331" xr:uid="{220DE328-EA86-49B5-9939-2C3076DB9C16}"/>
    <cellStyle name="Millares 68 3 25 35 2" xfId="10898" xr:uid="{A59741B2-E8FD-4B20-B160-10879C8DFE8A}"/>
    <cellStyle name="Millares 68 3 25 36" xfId="6336" xr:uid="{F7450172-4B4A-4C28-9327-8AFDE901D5F8}"/>
    <cellStyle name="Millares 68 3 25 36 2" xfId="10903" xr:uid="{C42126D4-D56C-46A7-A2CE-24F7B2460053}"/>
    <cellStyle name="Millares 68 3 25 37" xfId="6345" xr:uid="{3BFEE915-0237-458D-8BAD-7142D34A4955}"/>
    <cellStyle name="Millares 68 3 25 37 2" xfId="10912" xr:uid="{548778E0-A688-4F8D-977F-9310A5AE5493}"/>
    <cellStyle name="Millares 68 3 25 38" xfId="6350" xr:uid="{6E80DEB3-E8FB-49C0-8087-59E6AD2898CB}"/>
    <cellStyle name="Millares 68 3 25 38 2" xfId="10917" xr:uid="{A27921C5-20F4-46E2-AFE5-4B08C93FD899}"/>
    <cellStyle name="Millares 68 3 25 39" xfId="1320" xr:uid="{CBFDD8F0-EE4A-4B2B-9B9D-3E3A98A26680}"/>
    <cellStyle name="Millares 68 3 25 39 2" xfId="10924" xr:uid="{53ECFF34-B90D-427D-9FB3-1706C1F23BB3}"/>
    <cellStyle name="Millares 68 3 25 39 3" xfId="6357" xr:uid="{8C7D8559-269A-4BCA-9D9A-663C969B0125}"/>
    <cellStyle name="Millares 68 3 25 4" xfId="1301" xr:uid="{5BE15B0D-6E26-45CF-8AFD-08A4612205E5}"/>
    <cellStyle name="Millares 68 3 25 4 2" xfId="3946" xr:uid="{201F4B6E-376C-4D4A-AF15-E5237F010D20}"/>
    <cellStyle name="Millares 68 3 25 4 2 2" xfId="6240" xr:uid="{14460BB1-AA0D-47B0-ADC9-57A78349E9E1}"/>
    <cellStyle name="Millares 68 3 25 4 2 2 2" xfId="10808" xr:uid="{D5F57938-589F-46F9-AC35-4346B6B4A6C0}"/>
    <cellStyle name="Millares 68 3 25 4 2 3" xfId="8516" xr:uid="{C9FBE295-B159-495B-A6E6-2E0DFC6544CF}"/>
    <cellStyle name="Millares 68 3 25 4 3" xfId="4993" xr:uid="{56C49BC2-B01F-440C-88CB-8E6A9866EF35}"/>
    <cellStyle name="Millares 68 3 25 4 3 2" xfId="9561" xr:uid="{04872186-F85E-4148-91CE-215D325DB91A}"/>
    <cellStyle name="Millares 68 3 25 4 4" xfId="7269" xr:uid="{FD546413-80E1-4C9C-9E3B-60B668A3AB2B}"/>
    <cellStyle name="Millares 68 3 25 4 5" xfId="2567" xr:uid="{33D8BBD6-FA4F-4421-8CA6-62E28EB27B1F}"/>
    <cellStyle name="Millares 68 3 25 40" xfId="6362" xr:uid="{619E8912-C91F-4C91-BCF8-FCC0CB50A825}"/>
    <cellStyle name="Millares 68 3 25 40 2" xfId="10929" xr:uid="{0AE06E57-13CB-4E41-B9C8-28B98630930C}"/>
    <cellStyle name="Millares 68 3 25 41" xfId="6370" xr:uid="{FF9DB9B2-C42E-4DE1-9FAD-E458E061CF5A}"/>
    <cellStyle name="Millares 68 3 25 41 2" xfId="10937" xr:uid="{ACE61260-3C72-4FDC-8A41-C04876F4BF0A}"/>
    <cellStyle name="Millares 68 3 25 42" xfId="7262" xr:uid="{373E14B7-11B1-4AD3-BF78-A5E575321959}"/>
    <cellStyle name="Millares 68 3 25 43" xfId="2560" xr:uid="{4A615DD3-F1F0-41FF-974C-858E8E5B4B67}"/>
    <cellStyle name="Millares 68 3 25 5" xfId="2569" xr:uid="{48DDDE54-E5ED-4730-8C38-37D8C4654BF4}"/>
    <cellStyle name="Millares 68 3 25 5 2" xfId="3948" xr:uid="{80C8AA91-7064-4ACC-A14D-D5050195ED36}"/>
    <cellStyle name="Millares 68 3 25 5 2 2" xfId="6242" xr:uid="{0F3E221A-CFBF-433E-A46C-E923044AC0FD}"/>
    <cellStyle name="Millares 68 3 25 5 2 2 2" xfId="10810" xr:uid="{75E0029B-C44E-4074-B6AD-47685D3EB53A}"/>
    <cellStyle name="Millares 68 3 25 5 2 3" xfId="8518" xr:uid="{6000EA26-ECFF-46F0-887B-1646DD913715}"/>
    <cellStyle name="Millares 68 3 25 5 3" xfId="4995" xr:uid="{DA8F34CB-D981-40D7-8414-54276C8F9972}"/>
    <cellStyle name="Millares 68 3 25 5 3 2" xfId="9563" xr:uid="{54DAD7EA-CEE7-4A40-99B5-3B76D48B37B7}"/>
    <cellStyle name="Millares 68 3 25 5 4" xfId="7271" xr:uid="{45D28058-D561-4271-B85A-09760681584E}"/>
    <cellStyle name="Millares 68 3 25 6" xfId="1176" xr:uid="{00000000-0005-0000-0000-0000C6020000}"/>
    <cellStyle name="Millares 68 3 25 6 2" xfId="3950" xr:uid="{93AF70C6-67C8-4B5D-9A38-7BD6210B7373}"/>
    <cellStyle name="Millares 68 3 25 6 2 2" xfId="6244" xr:uid="{5D0E844D-9C46-45B1-940E-78C9E09E6BDA}"/>
    <cellStyle name="Millares 68 3 25 6 2 2 2" xfId="10812" xr:uid="{398FD341-7AC6-4290-BDE1-C7025E85BCD6}"/>
    <cellStyle name="Millares 68 3 25 6 2 3" xfId="8520" xr:uid="{15AE7D84-AE9B-418A-BD66-8DF540EA154B}"/>
    <cellStyle name="Millares 68 3 25 6 3" xfId="4997" xr:uid="{2E13FB04-6D02-44EA-99AE-580D9216549F}"/>
    <cellStyle name="Millares 68 3 25 6 3 2" xfId="9565" xr:uid="{E65537F4-9D2E-4D22-B3A1-FD256ACA177C}"/>
    <cellStyle name="Millares 68 3 25 6 4" xfId="7273" xr:uid="{F08DE033-CFDE-470A-9B8C-471BA821CA8D}"/>
    <cellStyle name="Millares 68 3 25 6 5" xfId="2571" xr:uid="{5A3B3344-D120-40D0-9D5E-FCC90EF1628B}"/>
    <cellStyle name="Millares 68 3 25 7" xfId="2573" xr:uid="{E805637D-E79D-4C03-88D7-BC6B0926A168}"/>
    <cellStyle name="Millares 68 3 25 7 2" xfId="3952" xr:uid="{EA24B70B-8989-4EDA-809A-343A77255DE4}"/>
    <cellStyle name="Millares 68 3 25 7 2 2" xfId="6246" xr:uid="{754CD794-26E6-4DCC-9DF2-6936BAA55D69}"/>
    <cellStyle name="Millares 68 3 25 7 2 2 2" xfId="10814" xr:uid="{DAD2309B-5756-40CB-9029-A2655920756A}"/>
    <cellStyle name="Millares 68 3 25 7 2 3" xfId="8522" xr:uid="{1AB457F8-E088-49E6-AC80-851522029D29}"/>
    <cellStyle name="Millares 68 3 25 7 3" xfId="4999" xr:uid="{C0BF82BF-9319-4F5B-AA3C-03FC6A77B5BC}"/>
    <cellStyle name="Millares 68 3 25 7 3 2" xfId="9567" xr:uid="{361A973B-9B8C-47C7-BB36-F55E00D0B99F}"/>
    <cellStyle name="Millares 68 3 25 7 4" xfId="7275" xr:uid="{008DF174-05D9-4CBE-8ADB-A58682793EA2}"/>
    <cellStyle name="Millares 68 3 25 8" xfId="2575" xr:uid="{341E5F7E-9F09-46C0-937C-11309A936FFC}"/>
    <cellStyle name="Millares 68 3 25 8 2" xfId="3939" xr:uid="{BA50CE03-95A6-4719-B361-3A7DCD9A77AC}"/>
    <cellStyle name="Millares 68 3 25 8 2 2" xfId="6233" xr:uid="{E87F7F89-9D3D-4068-BF59-64891FFCAA9C}"/>
    <cellStyle name="Millares 68 3 25 8 2 2 2" xfId="10801" xr:uid="{B2E3435E-68DF-4B7A-858B-BD4F66A1D96B}"/>
    <cellStyle name="Millares 68 3 25 8 2 3" xfId="8509" xr:uid="{CE57AA3B-00F8-40FF-8A8A-61DB0C99EAD3}"/>
    <cellStyle name="Millares 68 3 25 8 3" xfId="5001" xr:uid="{634B800E-CEBB-408B-95A3-97638747B8E1}"/>
    <cellStyle name="Millares 68 3 25 8 3 2" xfId="9569" xr:uid="{1A9648F5-095F-463D-8A31-0FF54E93911D}"/>
    <cellStyle name="Millares 68 3 25 8 4" xfId="7277" xr:uid="{0D99655D-B33C-4856-89E6-31474EBD9BC7}"/>
    <cellStyle name="Millares 68 3 25 9" xfId="2577" xr:uid="{DDB75C98-D889-4FC4-9814-9BD931D8805E}"/>
    <cellStyle name="Millares 68 3 25 9 2" xfId="5003" xr:uid="{56DF66CC-6DFC-4FD0-B6C2-0B430F41C07C}"/>
    <cellStyle name="Millares 68 3 25 9 2 2" xfId="9571" xr:uid="{037E4B1C-A57A-45AD-BDCF-773E79DD8CB2}"/>
    <cellStyle name="Millares 68 3 25 9 3" xfId="7279" xr:uid="{A60702F0-3821-4C9F-95CF-89FDB5767A50}"/>
    <cellStyle name="Millares 68 3 26" xfId="3099" xr:uid="{608A1B83-E72E-4C11-B4CA-A87F0E9E7585}"/>
    <cellStyle name="Millares 68 3 26 2" xfId="5523" xr:uid="{4434FD33-241F-4A45-9A5D-B750E6808C5F}"/>
    <cellStyle name="Millares 68 3 26 2 2" xfId="10091" xr:uid="{D060CA78-5CB5-452C-B871-5691E99947BB}"/>
    <cellStyle name="Millares 68 3 26 3" xfId="7799" xr:uid="{E26E29C8-A6E1-4A07-96A5-92779DC4D62F}"/>
    <cellStyle name="Millares 68 3 27" xfId="3680" xr:uid="{FF6C4F53-5B30-460D-A34D-09F78306C7C7}"/>
    <cellStyle name="Millares 68 3 27 2" xfId="6083" xr:uid="{547521C9-8C76-444D-A940-2ED2265286B4}"/>
    <cellStyle name="Millares 68 3 27 2 2" xfId="10651" xr:uid="{50982A11-86C3-44E5-885B-FEDDC90BCE75}"/>
    <cellStyle name="Millares 68 3 27 3" xfId="8359" xr:uid="{5778BD9C-C91D-4E0D-AF60-0606A8758D58}"/>
    <cellStyle name="Millares 68 3 28" xfId="2668" xr:uid="{62EDE65F-F437-4E42-91ED-A7A74CD1E8FA}"/>
    <cellStyle name="Millares 68 3 28 2" xfId="5094" xr:uid="{434E277F-02A9-4E50-9C20-A2352394F8F3}"/>
    <cellStyle name="Millares 68 3 28 2 2" xfId="9662" xr:uid="{CC312010-4787-4F79-8A5A-F58883411B1D}"/>
    <cellStyle name="Millares 68 3 28 3" xfId="7370" xr:uid="{6C710C1B-686C-4C82-A4ED-4F807EAE67C4}"/>
    <cellStyle name="Millares 68 3 29" xfId="4514" xr:uid="{A52BC292-3328-4B29-8A39-D7C789127744}"/>
    <cellStyle name="Millares 68 3 29 2" xfId="9082" xr:uid="{EFE0CCCC-69CF-4CE1-8C75-7F898ED64A97}"/>
    <cellStyle name="Millares 68 3 3" xfId="1983" xr:uid="{03F129B0-86AB-446D-9B93-63344550A22C}"/>
    <cellStyle name="Millares 68 3 3 2" xfId="2520" xr:uid="{C01EE978-A4CE-415C-8707-F1F551287F2E}"/>
    <cellStyle name="Millares 68 3 3 2 2" xfId="3899" xr:uid="{AB9BE175-14A4-4463-A612-AED7C0AE6687}"/>
    <cellStyle name="Millares 68 3 3 2 2 2" xfId="6193" xr:uid="{FCE03789-AA60-4A6B-A3A9-F44139F98A9A}"/>
    <cellStyle name="Millares 68 3 3 2 2 2 2" xfId="10761" xr:uid="{41A746D5-4D84-4321-AE48-718D250114A9}"/>
    <cellStyle name="Millares 68 3 3 2 2 3" xfId="8469" xr:uid="{499C43F0-6839-4CFD-BDC7-CE8AAC118D81}"/>
    <cellStyle name="Millares 68 3 3 2 3" xfId="3531" xr:uid="{61F41131-4EFA-4458-93B8-82DCD32F5DB1}"/>
    <cellStyle name="Millares 68 3 3 2 3 2" xfId="5955" xr:uid="{BA4936ED-F976-4659-B8EE-272E86E38424}"/>
    <cellStyle name="Millares 68 3 3 2 3 2 2" xfId="10523" xr:uid="{9621633C-63AC-43EE-9AEB-AA03F2B16229}"/>
    <cellStyle name="Millares 68 3 3 2 3 3" xfId="8231" xr:uid="{B0254DCE-3A40-4FA3-9961-CAC57FEBA0D9}"/>
    <cellStyle name="Millares 68 3 3 2 4" xfId="4946" xr:uid="{C757E592-54CC-4796-AC52-EB32B6C2743F}"/>
    <cellStyle name="Millares 68 3 3 2 4 2" xfId="9514" xr:uid="{9E58EF15-AB8E-4373-BB0A-28DBECDA95B2}"/>
    <cellStyle name="Millares 68 3 3 2 5" xfId="7222" xr:uid="{91E03F5A-B50C-44BF-AF5F-F054FCAF2F71}"/>
    <cellStyle name="Millares 68 3 3 3" xfId="3684" xr:uid="{E80771C7-BE2F-44BB-AB75-7C5325117B1B}"/>
    <cellStyle name="Millares 68 3 3 3 2" xfId="6087" xr:uid="{E760C6BE-52D3-42C1-9281-E3F1AA2EE29D}"/>
    <cellStyle name="Millares 68 3 3 3 2 2" xfId="10655" xr:uid="{2FEC111C-565D-44DF-9C54-16F66DE9107F}"/>
    <cellStyle name="Millares 68 3 3 3 3" xfId="8363" xr:uid="{E563D6E1-754E-4880-8C9E-8AFCA8BE55F7}"/>
    <cellStyle name="Millares 68 3 3 4" xfId="3103" xr:uid="{EF3D552F-4317-481A-AFD7-5D1D2354A201}"/>
    <cellStyle name="Millares 68 3 3 4 2" xfId="5527" xr:uid="{A0747B5D-7756-4123-A652-14F663646D96}"/>
    <cellStyle name="Millares 68 3 3 4 2 2" xfId="10095" xr:uid="{FE45A9F4-B22F-4FE4-8203-ED62154C0C3B}"/>
    <cellStyle name="Millares 68 3 3 4 3" xfId="7803" xr:uid="{D0010CD5-A4C4-4EFA-B6A8-F4420DBF001E}"/>
    <cellStyle name="Millares 68 3 3 5" xfId="4518" xr:uid="{4A3E4036-4C59-432A-935F-7DB1DAEB4F49}"/>
    <cellStyle name="Millares 68 3 3 5 2" xfId="9086" xr:uid="{9980AB5E-274C-43B2-A04F-DA31B999C2D6}"/>
    <cellStyle name="Millares 68 3 3 6" xfId="6794" xr:uid="{EF7CF1F3-D142-4FFD-82FD-FEFD567FE629}"/>
    <cellStyle name="Millares 68 3 30" xfId="6790" xr:uid="{0735A71A-8AB1-4FA8-BBEC-8287625FB600}"/>
    <cellStyle name="Millares 68 3 31" xfId="1979" xr:uid="{85C42102-6503-4B24-81E7-679F78A7381B}"/>
    <cellStyle name="Millares 68 3 4" xfId="1078" xr:uid="{00000000-0005-0000-0000-0000C7020000}"/>
    <cellStyle name="Millares 68 3 4 2" xfId="2522" xr:uid="{463EA74A-1ED7-40E6-948F-5DEAEC131F8A}"/>
    <cellStyle name="Millares 68 3 4 2 2" xfId="3901" xr:uid="{FD542252-E570-44EB-84A3-274F6AC7CFCB}"/>
    <cellStyle name="Millares 68 3 4 2 2 2" xfId="6195" xr:uid="{79260DFF-A9C2-4768-B040-844C8A1C1E51}"/>
    <cellStyle name="Millares 68 3 4 2 2 2 2" xfId="10763" xr:uid="{ACD4AB77-6ACD-41B4-8289-9FBEC48E9A20}"/>
    <cellStyle name="Millares 68 3 4 2 2 3" xfId="8471" xr:uid="{B0F8601C-A659-413C-ADDD-1ED6A5C973A4}"/>
    <cellStyle name="Millares 68 3 4 2 3" xfId="3533" xr:uid="{1CB4FDCE-6F94-4A44-9A5F-4DA8FA906FD3}"/>
    <cellStyle name="Millares 68 3 4 2 3 2" xfId="5957" xr:uid="{C17B0A7C-D2F6-4C05-A6F5-11A95276C564}"/>
    <cellStyle name="Millares 68 3 4 2 3 2 2" xfId="10525" xr:uid="{47A006C7-B928-4246-AE91-5DC1629F22ED}"/>
    <cellStyle name="Millares 68 3 4 2 3 3" xfId="8233" xr:uid="{23B0B983-685B-4AED-9ACA-7ADE158C86D3}"/>
    <cellStyle name="Millares 68 3 4 2 4" xfId="4948" xr:uid="{EDD466AF-5364-4ED1-8F1A-FCBC8DB12631}"/>
    <cellStyle name="Millares 68 3 4 2 4 2" xfId="9516" xr:uid="{6652C81B-9608-4C9C-89B4-24D3A8CD4B70}"/>
    <cellStyle name="Millares 68 3 4 2 5" xfId="7224" xr:uid="{DA00A06F-21F8-4E7C-BA57-A40AB379D1D8}"/>
    <cellStyle name="Millares 68 3 4 3" xfId="3686" xr:uid="{418632C2-2F8A-4240-AA12-61A4113D48DE}"/>
    <cellStyle name="Millares 68 3 4 3 2" xfId="6089" xr:uid="{5327A9B1-C23A-4445-8D47-D63E6ED7D766}"/>
    <cellStyle name="Millares 68 3 4 3 2 2" xfId="10657" xr:uid="{88B634F2-7FDF-49BF-ACFC-B3AD75E9AA8F}"/>
    <cellStyle name="Millares 68 3 4 3 3" xfId="8365" xr:uid="{4D5A99C0-B834-48DB-ABA2-C7D789EE0772}"/>
    <cellStyle name="Millares 68 3 4 4" xfId="3105" xr:uid="{501DBA50-9881-4936-BFEE-BA646BE96A01}"/>
    <cellStyle name="Millares 68 3 4 4 2" xfId="5529" xr:uid="{0329530E-6C7D-4B37-9FAB-084314D208F1}"/>
    <cellStyle name="Millares 68 3 4 4 2 2" xfId="10097" xr:uid="{4F9A7482-2CE4-46AC-8912-1F17E30031B2}"/>
    <cellStyle name="Millares 68 3 4 4 3" xfId="7805" xr:uid="{E5D685B8-7DB0-4D1A-8DA1-3906EE4B93E2}"/>
    <cellStyle name="Millares 68 3 4 5" xfId="4520" xr:uid="{71828CCE-A9EE-4477-9706-14F0E2E3B1CB}"/>
    <cellStyle name="Millares 68 3 4 5 2" xfId="9088" xr:uid="{85993C64-B84A-4F1A-A3F9-B0D04176A888}"/>
    <cellStyle name="Millares 68 3 4 6" xfId="6796" xr:uid="{CC4DB9BD-5758-4555-B4D9-493E1D5F8CA6}"/>
    <cellStyle name="Millares 68 3 4 7" xfId="1985" xr:uid="{71615CA4-6F07-484D-A36D-482BA430ABE8}"/>
    <cellStyle name="Millares 68 3 5" xfId="1987" xr:uid="{D3082709-FD44-4A10-8E30-5BC10B29F7F4}"/>
    <cellStyle name="Millares 68 3 5 2" xfId="2524" xr:uid="{5B7466EF-2939-45F0-B07D-DFED43C4E572}"/>
    <cellStyle name="Millares 68 3 5 2 2" xfId="3903" xr:uid="{EFE93069-F82D-4068-A60A-8183A8814E17}"/>
    <cellStyle name="Millares 68 3 5 2 2 2" xfId="6197" xr:uid="{3223F8A7-6184-4E98-A2AB-2930C9F2A333}"/>
    <cellStyle name="Millares 68 3 5 2 2 2 2" xfId="10765" xr:uid="{1D0258C2-FF7C-44D1-BCF6-4537F55FA31B}"/>
    <cellStyle name="Millares 68 3 5 2 2 3" xfId="8473" xr:uid="{70E2733E-8EE0-489E-97E3-40ED626961BD}"/>
    <cellStyle name="Millares 68 3 5 2 3" xfId="3535" xr:uid="{EAFBC428-1CF1-45EA-9071-AE8334DA1CE6}"/>
    <cellStyle name="Millares 68 3 5 2 3 2" xfId="5959" xr:uid="{7AF42A61-5713-484A-A72E-95D76256D8DF}"/>
    <cellStyle name="Millares 68 3 5 2 3 2 2" xfId="10527" xr:uid="{65E3987A-F67B-4106-B0F7-A41273465951}"/>
    <cellStyle name="Millares 68 3 5 2 3 3" xfId="8235" xr:uid="{4EE0B3E8-0DC5-459F-BBA4-7BC9CD9C9F15}"/>
    <cellStyle name="Millares 68 3 5 2 4" xfId="4950" xr:uid="{789D2829-95A5-4230-A5B0-47D682C9CBA9}"/>
    <cellStyle name="Millares 68 3 5 2 4 2" xfId="9518" xr:uid="{71CDA850-036C-464D-AE79-6860099ED911}"/>
    <cellStyle name="Millares 68 3 5 2 5" xfId="7226" xr:uid="{78067BC9-CBD2-41CC-A5B5-CE5ECC89ECF5}"/>
    <cellStyle name="Millares 68 3 5 3" xfId="3688" xr:uid="{BE9E564C-0592-4270-BC56-FF8D85FAEB7B}"/>
    <cellStyle name="Millares 68 3 5 3 2" xfId="6091" xr:uid="{45165706-C15A-45A9-8B2E-F31F235D26C7}"/>
    <cellStyle name="Millares 68 3 5 3 2 2" xfId="10659" xr:uid="{B9E0541E-2E7F-49B0-8603-CABC22A345FB}"/>
    <cellStyle name="Millares 68 3 5 3 3" xfId="8367" xr:uid="{B37224C8-C199-42EC-BA1A-B292A2052850}"/>
    <cellStyle name="Millares 68 3 5 4" xfId="3107" xr:uid="{891C50E9-833B-4AC8-B649-35552698FE01}"/>
    <cellStyle name="Millares 68 3 5 4 2" xfId="5531" xr:uid="{6B44CF71-61E3-4F2E-AD38-D6A64AEBA9C4}"/>
    <cellStyle name="Millares 68 3 5 4 2 2" xfId="10099" xr:uid="{C281B58B-3ADF-4E4B-8182-8855C7E6CA32}"/>
    <cellStyle name="Millares 68 3 5 4 3" xfId="7807" xr:uid="{2A24CD17-60B7-47B0-A9DD-B961EC354759}"/>
    <cellStyle name="Millares 68 3 5 5" xfId="4522" xr:uid="{B6A353DE-523F-4241-AACE-080552A93DC0}"/>
    <cellStyle name="Millares 68 3 5 5 2" xfId="9090" xr:uid="{75E82E23-120C-482D-8B32-AA5658BD54D8}"/>
    <cellStyle name="Millares 68 3 5 6" xfId="6798" xr:uid="{6B2C4403-67E6-4FF1-BE00-4444CC0071BE}"/>
    <cellStyle name="Millares 68 3 6" xfId="1989" xr:uid="{E23D032A-DDCD-4F53-B445-5E50226C6D49}"/>
    <cellStyle name="Millares 68 3 6 2" xfId="2526" xr:uid="{4B966004-66D8-4A3B-B74F-BCD59567C06E}"/>
    <cellStyle name="Millares 68 3 6 2 2" xfId="3905" xr:uid="{4EED0B15-29F5-4DFD-987D-EB39DF82CB8E}"/>
    <cellStyle name="Millares 68 3 6 2 2 2" xfId="6199" xr:uid="{7F0E2895-2456-438C-88DF-030B1573779C}"/>
    <cellStyle name="Millares 68 3 6 2 2 2 2" xfId="10767" xr:uid="{C7AB2958-D47E-4546-A11A-EA54FD1F6AA2}"/>
    <cellStyle name="Millares 68 3 6 2 2 3" xfId="8475" xr:uid="{CA79065B-73F8-4D4C-988C-83E44E76951D}"/>
    <cellStyle name="Millares 68 3 6 2 3" xfId="3537" xr:uid="{1DCFA61A-4EDB-4078-9DA9-3A6CF9005EC9}"/>
    <cellStyle name="Millares 68 3 6 2 3 2" xfId="5961" xr:uid="{10621018-BA42-4F04-BCE6-0DD66847A6D0}"/>
    <cellStyle name="Millares 68 3 6 2 3 2 2" xfId="10529" xr:uid="{95834DDF-8298-46E0-BF17-D8C18827A37F}"/>
    <cellStyle name="Millares 68 3 6 2 3 3" xfId="8237" xr:uid="{77558F3E-B2C6-461D-8A9E-3957D9063DF0}"/>
    <cellStyle name="Millares 68 3 6 2 4" xfId="4952" xr:uid="{3286EC2D-26F3-4CF3-8503-61998BAF07BC}"/>
    <cellStyle name="Millares 68 3 6 2 4 2" xfId="9520" xr:uid="{EFA0A45C-1EEB-4E29-A262-43D837EB3499}"/>
    <cellStyle name="Millares 68 3 6 2 5" xfId="7228" xr:uid="{56B5E52E-2966-4186-8C3D-D97998FB9F11}"/>
    <cellStyle name="Millares 68 3 6 3" xfId="3690" xr:uid="{CFD3C126-5DAA-4291-B5E9-FB79FBAE7089}"/>
    <cellStyle name="Millares 68 3 6 3 2" xfId="6093" xr:uid="{2080898A-B102-40CC-84B9-2438E82BA02D}"/>
    <cellStyle name="Millares 68 3 6 3 2 2" xfId="10661" xr:uid="{D844BEEA-BA88-47F8-BFAD-2C47265A12B5}"/>
    <cellStyle name="Millares 68 3 6 3 3" xfId="8369" xr:uid="{23CBFF01-1610-4AEF-B9FF-CAB0CE0F7D19}"/>
    <cellStyle name="Millares 68 3 6 4" xfId="3109" xr:uid="{17F1FF94-9044-4558-9013-5AF398189B4A}"/>
    <cellStyle name="Millares 68 3 6 4 2" xfId="5533" xr:uid="{7386317A-1D29-4E9F-B524-4B8F97AD23B5}"/>
    <cellStyle name="Millares 68 3 6 4 2 2" xfId="10101" xr:uid="{54286514-FDDA-40F3-8DE0-EFBF49FBB435}"/>
    <cellStyle name="Millares 68 3 6 4 3" xfId="7809" xr:uid="{F6457A08-5A30-4B44-B009-1D123C9BC70D}"/>
    <cellStyle name="Millares 68 3 6 5" xfId="4524" xr:uid="{89C072BE-D5DD-42B8-9793-8058EEAA40E9}"/>
    <cellStyle name="Millares 68 3 6 5 2" xfId="9092" xr:uid="{0E6E65FB-E118-4A8E-9CB7-DADF222736D8}"/>
    <cellStyle name="Millares 68 3 6 6" xfId="6800" xr:uid="{BE059A7D-633E-4438-B118-73CD19A48A2A}"/>
    <cellStyle name="Millares 68 3 7" xfId="1991" xr:uid="{050AA34E-82D0-4AF8-A3A5-3EC80CA64489}"/>
    <cellStyle name="Millares 68 3 7 2" xfId="2528" xr:uid="{084433D9-315D-4789-85D5-688B59E83DC6}"/>
    <cellStyle name="Millares 68 3 7 2 2" xfId="3907" xr:uid="{BFEA9A3F-591F-40EB-A6BF-F96823A8F7B6}"/>
    <cellStyle name="Millares 68 3 7 2 2 2" xfId="6201" xr:uid="{F8C94363-BA5F-43E1-8C06-F48F317E48F3}"/>
    <cellStyle name="Millares 68 3 7 2 2 2 2" xfId="10769" xr:uid="{4E43DBFA-08D7-48B1-A23F-BB0D45E0F228}"/>
    <cellStyle name="Millares 68 3 7 2 2 3" xfId="8477" xr:uid="{42F658E3-F327-45F8-9757-3D988753FE66}"/>
    <cellStyle name="Millares 68 3 7 2 3" xfId="3539" xr:uid="{33540248-19B4-4ADC-B6C7-2CB0E4AC0DB3}"/>
    <cellStyle name="Millares 68 3 7 2 3 2" xfId="5963" xr:uid="{07355271-03C7-44B5-B8D2-3E1F347B3D46}"/>
    <cellStyle name="Millares 68 3 7 2 3 2 2" xfId="10531" xr:uid="{A897D249-4414-4DE7-9BE5-E59149B5DB8E}"/>
    <cellStyle name="Millares 68 3 7 2 3 3" xfId="8239" xr:uid="{86845FA2-62B1-4D13-A2B2-98069B6D2F44}"/>
    <cellStyle name="Millares 68 3 7 2 4" xfId="4954" xr:uid="{19C7B55D-8860-4453-8EFD-D958247BCA23}"/>
    <cellStyle name="Millares 68 3 7 2 4 2" xfId="9522" xr:uid="{8931E8EF-1F8D-4E7E-AE32-F5D22C4D5B3D}"/>
    <cellStyle name="Millares 68 3 7 2 5" xfId="7230" xr:uid="{AAE885E1-D676-4C00-A0F5-01203A9F39C0}"/>
    <cellStyle name="Millares 68 3 7 3" xfId="3692" xr:uid="{3B6B7479-945F-4B2E-990B-5F9527A1AB9A}"/>
    <cellStyle name="Millares 68 3 7 3 2" xfId="6095" xr:uid="{961E167E-11A4-4183-9573-6C2ACEFBDE1C}"/>
    <cellStyle name="Millares 68 3 7 3 2 2" xfId="10663" xr:uid="{A3DE0919-0C01-475D-B193-8AC1309EBFBF}"/>
    <cellStyle name="Millares 68 3 7 3 3" xfId="8371" xr:uid="{379E7CB1-B355-4A98-BF25-8D83D68431F8}"/>
    <cellStyle name="Millares 68 3 7 4" xfId="3111" xr:uid="{B0C4C266-EC8B-4319-A502-DD38501E784F}"/>
    <cellStyle name="Millares 68 3 7 4 2" xfId="5535" xr:uid="{488AB6F7-6948-4F1C-97F3-88BD6AF4DDE7}"/>
    <cellStyle name="Millares 68 3 7 4 2 2" xfId="10103" xr:uid="{0A4834CC-C376-4701-A28B-68E1182B86B8}"/>
    <cellStyle name="Millares 68 3 7 4 3" xfId="7811" xr:uid="{D1B0CC96-DB39-41CF-8A64-6A4DE98DA530}"/>
    <cellStyle name="Millares 68 3 7 5" xfId="4526" xr:uid="{A2C414E9-8829-48A0-95CB-BAE8218CD0E3}"/>
    <cellStyle name="Millares 68 3 7 5 2" xfId="9094" xr:uid="{E2E1BBAA-5057-4AD1-AD63-92145FCD2305}"/>
    <cellStyle name="Millares 68 3 7 6" xfId="6802" xr:uid="{CBC93E36-B98A-4B9F-A474-0923D6B60943}"/>
    <cellStyle name="Millares 68 3 8" xfId="1993" xr:uid="{7F450A31-E5F8-41AA-BA90-43E51290585E}"/>
    <cellStyle name="Millares 68 3 8 2" xfId="3694" xr:uid="{8A4BF193-ADF3-499F-93BF-5DC83C4391A6}"/>
    <cellStyle name="Millares 68 3 8 2 2" xfId="6097" xr:uid="{DC8B28E1-52FB-4C24-83C4-53DC825690BB}"/>
    <cellStyle name="Millares 68 3 8 2 2 2" xfId="10665" xr:uid="{1DC852D5-EC67-467F-9C57-98842AB745B1}"/>
    <cellStyle name="Millares 68 3 8 2 3" xfId="8373" xr:uid="{09D1E3E8-39D2-41F3-A780-614E9E849323}"/>
    <cellStyle name="Millares 68 3 8 3" xfId="3113" xr:uid="{90892630-645F-41CB-B57E-A700F5567BE0}"/>
    <cellStyle name="Millares 68 3 8 3 2" xfId="5537" xr:uid="{3A1FF05D-579D-4976-87DF-DF638E7ACA1A}"/>
    <cellStyle name="Millares 68 3 8 3 2 2" xfId="10105" xr:uid="{27CEC735-9432-4A94-B9DD-2CDB6BE6ADD7}"/>
    <cellStyle name="Millares 68 3 8 3 3" xfId="7813" xr:uid="{EA4ABFE1-7BE8-461C-9296-11AE53ED1E31}"/>
    <cellStyle name="Millares 68 3 8 4" xfId="4528" xr:uid="{99A1584F-C642-46DF-80A0-459F3AD79FF0}"/>
    <cellStyle name="Millares 68 3 8 4 2" xfId="9096" xr:uid="{AACAEDCB-029D-41C8-9192-5E9D4D6FF166}"/>
    <cellStyle name="Millares 68 3 8 5" xfId="6804" xr:uid="{34A0A1A2-EDCD-459D-BDD8-FF8F684251C3}"/>
    <cellStyle name="Millares 68 3 9" xfId="2516" xr:uid="{428E3528-AAC8-4AA2-B594-5B1C429D9DB7}"/>
    <cellStyle name="Millares 68 3 9 2" xfId="3895" xr:uid="{216E4701-E4C0-440F-884F-40720005BB81}"/>
    <cellStyle name="Millares 68 3 9 2 2" xfId="6189" xr:uid="{4CD4B716-1C60-41A2-8D27-417EBC5195A1}"/>
    <cellStyle name="Millares 68 3 9 2 2 2" xfId="10757" xr:uid="{9646F9BB-DE22-4C26-A790-4DF8215EDDA4}"/>
    <cellStyle name="Millares 68 3 9 2 3" xfId="8465" xr:uid="{9C1F9659-2E5D-45C1-9D0C-E9B6E0C8A591}"/>
    <cellStyle name="Millares 68 3 9 3" xfId="3527" xr:uid="{55DA85F7-3ED5-420F-89FC-EB1AAA19E13E}"/>
    <cellStyle name="Millares 68 3 9 3 2" xfId="5951" xr:uid="{D7C11C74-C7A4-4F12-97BA-19B2C0F7B769}"/>
    <cellStyle name="Millares 68 3 9 3 2 2" xfId="10519" xr:uid="{9550C191-8CA4-43D1-9CC6-9ADE02BD419D}"/>
    <cellStyle name="Millares 68 3 9 3 3" xfId="8227" xr:uid="{47EB2242-2CAF-42EA-B47C-FE6F518BFF4D}"/>
    <cellStyle name="Millares 68 3 9 4" xfId="4942" xr:uid="{6FF96A8C-FE47-47EB-A4B9-7290D4A9003D}"/>
    <cellStyle name="Millares 68 3 9 4 2" xfId="9510" xr:uid="{1DE5449E-2831-434D-9A14-600774E5B5EB}"/>
    <cellStyle name="Millares 68 3 9 5" xfId="7218" xr:uid="{0D1C7E8A-E015-4305-BFB8-C8DEE1CF7BD3}"/>
    <cellStyle name="Millares 68 4" xfId="2512" xr:uid="{829ED044-0CE4-4A85-BE70-4A71942A13AD}"/>
    <cellStyle name="Millares 68 4 2" xfId="3891" xr:uid="{0B75C5EA-6C4C-4569-AC98-B62578EF3800}"/>
    <cellStyle name="Millares 68 4 2 2" xfId="6185" xr:uid="{206C1165-739A-4033-8153-DCB02F89055A}"/>
    <cellStyle name="Millares 68 4 2 2 2" xfId="10753" xr:uid="{E495F6B9-8ED8-4D61-B28E-D9636B00F098}"/>
    <cellStyle name="Millares 68 4 2 3" xfId="8461" xr:uid="{5F6C1098-2A67-44B5-8D5A-AAF76C151E4E}"/>
    <cellStyle name="Millares 68 4 3" xfId="3523" xr:uid="{893333E3-F6D3-40D4-ADE8-8A90DC4B034D}"/>
    <cellStyle name="Millares 68 4 3 2" xfId="5947" xr:uid="{64C80D7B-2D9C-4269-AE59-90964B2BD5CF}"/>
    <cellStyle name="Millares 68 4 3 2 2" xfId="10515" xr:uid="{7FD583CE-B27E-49CE-BB8A-4E460022E96F}"/>
    <cellStyle name="Millares 68 4 3 3" xfId="8223" xr:uid="{A9078303-1277-41DD-BC13-38D0CFACFA76}"/>
    <cellStyle name="Millares 68 4 4" xfId="4938" xr:uid="{C1B04B6A-084B-4539-98D6-EF85D9CFEAE6}"/>
    <cellStyle name="Millares 68 4 4 2" xfId="9506" xr:uid="{3757A752-FD56-48C1-9A78-2FFFFFC82A7B}"/>
    <cellStyle name="Millares 68 4 5" xfId="7214" xr:uid="{F4EC46A9-8B7B-43FC-B906-78E00F8EFA12}"/>
    <cellStyle name="Millares 68 5" xfId="3095" xr:uid="{D21969D4-427E-402E-AE13-DD06681ADF08}"/>
    <cellStyle name="Millares 68 5 2" xfId="5519" xr:uid="{76E18500-A81E-478D-875D-EBBD5F9FBF36}"/>
    <cellStyle name="Millares 68 5 2 2" xfId="10087" xr:uid="{C039379E-4D32-4D80-BF33-5D620C492DB8}"/>
    <cellStyle name="Millares 68 5 3" xfId="7795" xr:uid="{86DA6DED-176E-46DB-BCD4-7E60114002BF}"/>
    <cellStyle name="Millares 68 6" xfId="3676" xr:uid="{5A3BE6F3-BB6B-4783-BC60-4992180C65CA}"/>
    <cellStyle name="Millares 68 6 2" xfId="6079" xr:uid="{03068C29-A5F8-407A-917E-1627EF049DA0}"/>
    <cellStyle name="Millares 68 6 2 2" xfId="10647" xr:uid="{3994D492-BFAE-4AB0-B9C1-02034EDF0353}"/>
    <cellStyle name="Millares 68 6 3" xfId="8355" xr:uid="{00CE06E9-F517-42F4-A60B-01CD400212F2}"/>
    <cellStyle name="Millares 68 7" xfId="2666" xr:uid="{FFBBFFA7-90EA-40B2-BB1F-F1CCC8894E9D}"/>
    <cellStyle name="Millares 68 7 2" xfId="5092" xr:uid="{E5FC40E4-16FA-40A1-82EB-B949A9C49883}"/>
    <cellStyle name="Millares 68 7 2 2" xfId="9660" xr:uid="{F72E34DA-5D2F-4603-AAAC-BE585DAE040A}"/>
    <cellStyle name="Millares 68 7 3" xfId="7368" xr:uid="{639A5915-A37B-4BD9-B76E-D73CE9C88317}"/>
    <cellStyle name="Millares 68 8" xfId="4510" xr:uid="{ACF0A347-F45D-41D9-AC75-B250AA6EF4C5}"/>
    <cellStyle name="Millares 68 8 2" xfId="9078" xr:uid="{8261046F-14D6-4E40-9720-09940D00E017}"/>
    <cellStyle name="Millares 68 9" xfId="6786" xr:uid="{B763A4F7-5224-4254-87F7-09F75908CE91}"/>
    <cellStyle name="Millares 69" xfId="1151" xr:uid="{00000000-0005-0000-0000-0000C8020000}"/>
    <cellStyle name="Millares 69 2" xfId="3805" xr:uid="{3FA3EFAC-2B13-4A1E-B5AF-52EBBE213877}"/>
    <cellStyle name="Millares 69 3" xfId="2231" xr:uid="{7B5D56DA-F9FB-40F7-9553-DEC1B6707C96}"/>
    <cellStyle name="Millares 7" xfId="498" xr:uid="{00000000-0005-0000-0000-0000C9020000}"/>
    <cellStyle name="Millares 7 2" xfId="499" xr:uid="{00000000-0005-0000-0000-0000CA020000}"/>
    <cellStyle name="Millares 7 2 2" xfId="500" xr:uid="{00000000-0005-0000-0000-0000CB020000}"/>
    <cellStyle name="Millares 7 2 2 2" xfId="1751" xr:uid="{620D5AA6-05C7-45EB-814A-40C007DDFEF6}"/>
    <cellStyle name="Millares 7 2 2 3" xfId="2110" xr:uid="{FB6F38E5-3633-4FB5-BB07-63D834A84ED8}"/>
    <cellStyle name="Millares 7 2 2 3 2" xfId="3763" xr:uid="{372ED50C-71D8-4B1A-89D5-15965CD040FE}"/>
    <cellStyle name="Millares 7 2 2 4" xfId="4108" xr:uid="{16F5B064-287A-4489-97D4-50433D01684C}"/>
    <cellStyle name="Millares 7 2 2 4 2" xfId="8677" xr:uid="{5A1EC9FE-2CEB-444D-A721-E30413C2A51D}"/>
    <cellStyle name="Millares 7 2 2 5" xfId="1465" xr:uid="{AC3AF7B9-FE4B-43E0-BD77-C8233378C55C}"/>
    <cellStyle name="Millares 7 2 3" xfId="1750" xr:uid="{8DDF258D-5BBE-48F5-A0F9-9D26D314E8A9}"/>
    <cellStyle name="Millares 7 2 4" xfId="2109" xr:uid="{6FB86F88-2A29-4028-8DCD-1352DE6EBB1C}"/>
    <cellStyle name="Millares 7 2 4 2" xfId="3762" xr:uid="{564E9EF0-6038-4E8E-86F3-DA4C49A52BF2}"/>
    <cellStyle name="Millares 7 2 5" xfId="4107" xr:uid="{A9C24544-8435-4610-9BAE-B3C0D7F129D4}"/>
    <cellStyle name="Millares 7 2 5 2" xfId="8676" xr:uid="{150D0B84-61E6-4C52-8854-8AC9B0A32B8E}"/>
    <cellStyle name="Millares 7 2 6" xfId="1464" xr:uid="{1363890C-3696-4F00-B8C1-FDFF318BE261}"/>
    <cellStyle name="Millares 7 3" xfId="501" xr:uid="{00000000-0005-0000-0000-0000CC020000}"/>
    <cellStyle name="Millares 7 3 2" xfId="502" xr:uid="{00000000-0005-0000-0000-0000CD020000}"/>
    <cellStyle name="Millares 7 3 2 2" xfId="1753" xr:uid="{0D98E62A-61A8-47D9-B663-F989EBF64781}"/>
    <cellStyle name="Millares 7 3 2 3" xfId="2112" xr:uid="{68D38327-B820-4A50-BB9F-422499BDE3E2}"/>
    <cellStyle name="Millares 7 3 2 3 2" xfId="3765" xr:uid="{D9763DDF-7795-458E-A692-DFC787BFA7AD}"/>
    <cellStyle name="Millares 7 3 2 4" xfId="4110" xr:uid="{DE61CB41-C20B-4F10-AFA0-957632176151}"/>
    <cellStyle name="Millares 7 3 2 4 2" xfId="8679" xr:uid="{4FDFC4C6-0D57-4E3C-88E9-752606ECD9D1}"/>
    <cellStyle name="Millares 7 3 2 5" xfId="1467" xr:uid="{2C1EE66C-FB39-4691-A0E5-64BCC8D4FA99}"/>
    <cellStyle name="Millares 7 3 3" xfId="1752" xr:uid="{1AA175C8-FB21-4EA2-8551-03252CA7AFBA}"/>
    <cellStyle name="Millares 7 3 4" xfId="2111" xr:uid="{0F18A9C0-66CF-413A-A86A-272858D04E39}"/>
    <cellStyle name="Millares 7 3 4 2" xfId="3764" xr:uid="{C0F0C3C1-669D-4502-96F0-DB77CEAF313B}"/>
    <cellStyle name="Millares 7 3 5" xfId="4109" xr:uid="{977D90E4-21DD-40F8-931B-237B84648F71}"/>
    <cellStyle name="Millares 7 3 5 2" xfId="8678" xr:uid="{D9952925-DA40-4BEE-9560-680D0F1A2168}"/>
    <cellStyle name="Millares 7 3 6" xfId="1466" xr:uid="{9BF3EDCF-5195-4C8B-91EB-C84BE5F57D55}"/>
    <cellStyle name="Millares 7 4" xfId="503" xr:uid="{00000000-0005-0000-0000-0000CE020000}"/>
    <cellStyle name="Millares 7 4 2" xfId="1754" xr:uid="{AB3DEDC2-B2E9-4DB6-8F09-42937D9E19BB}"/>
    <cellStyle name="Millares 7 4 3" xfId="2113" xr:uid="{B7D77B50-CA52-4694-8CBB-6B435EB07495}"/>
    <cellStyle name="Millares 7 4 3 2" xfId="3766" xr:uid="{6D9C5099-4D15-479F-8FEF-23273DC70364}"/>
    <cellStyle name="Millares 7 4 4" xfId="4111" xr:uid="{E1938E44-F7A4-4F43-8C2B-F59D1AF00634}"/>
    <cellStyle name="Millares 7 4 4 2" xfId="8680" xr:uid="{EB4B0B54-7375-4F17-A4D2-DCFD682F973B}"/>
    <cellStyle name="Millares 7 4 5" xfId="1468" xr:uid="{38980A5C-9257-4DF2-9858-31B9C440B9B5}"/>
    <cellStyle name="Millares 7 5" xfId="1749" xr:uid="{B441E4E5-D522-4CA2-A60F-ABB35C3D7EAF}"/>
    <cellStyle name="Millares 7 6" xfId="2108" xr:uid="{19A71563-977C-46C4-8BBD-0186D90CB27B}"/>
    <cellStyle name="Millares 7 6 2" xfId="3761" xr:uid="{FA340856-3058-48EC-8663-93443BCBA94B}"/>
    <cellStyle name="Millares 7 7" xfId="2605" xr:uid="{939BB8AA-8BED-424E-8B86-7FAD7309DA56}"/>
    <cellStyle name="Millares 7 7 2" xfId="5031" xr:uid="{748B05FD-9C9A-47F6-8CA6-23A4AD3B96CE}"/>
    <cellStyle name="Millares 7 7 2 2" xfId="9599" xr:uid="{0CB52948-18B8-4016-AED1-A26C33807DD5}"/>
    <cellStyle name="Millares 7 7 3" xfId="7307" xr:uid="{869F5232-A40D-46D2-AFED-218E861D88E3}"/>
    <cellStyle name="Millares 7 8" xfId="4106" xr:uid="{38C3AA95-60D6-4220-8452-129A4BE38143}"/>
    <cellStyle name="Millares 7 8 2" xfId="8675" xr:uid="{F0654F3F-FFAA-4B6F-8E92-8A504D5FF567}"/>
    <cellStyle name="Millares 7 9" xfId="1463" xr:uid="{65738A71-BB6E-4FE3-AD4D-863F54DA840D}"/>
    <cellStyle name="Millares 70" xfId="1165" xr:uid="{00000000-0005-0000-0000-0000CF020000}"/>
    <cellStyle name="Millares 70 2" xfId="2656" xr:uid="{8942FEBB-5EA6-4904-BD79-953236DA33A8}"/>
    <cellStyle name="Millares 70 2 2" xfId="5082" xr:uid="{33D86C25-1903-456B-A8FF-F7977593256B}"/>
    <cellStyle name="Millares 70 2 2 2" xfId="9650" xr:uid="{9F87B21E-38C3-4411-B490-812285BD72BF}"/>
    <cellStyle name="Millares 70 2 3" xfId="7358" xr:uid="{B4183B88-213D-40AB-8BC7-6E037B63AD59}"/>
    <cellStyle name="Millares 70 3" xfId="2815" xr:uid="{1E98C96F-BCD1-483A-954F-B36B0CE1EF83}"/>
    <cellStyle name="Millares 70 4" xfId="5020" xr:uid="{4DB8E30D-F753-4246-94B2-E58123C932BE}"/>
    <cellStyle name="Millares 70 4 2" xfId="9588" xr:uid="{2A2CF128-92DC-4B16-B883-65C72F283B7D}"/>
    <cellStyle name="Millares 70 5" xfId="7296" xr:uid="{8EBB063B-DB7A-43A8-B89D-4AB12488FEFF}"/>
    <cellStyle name="Millares 70 6" xfId="2594" xr:uid="{9C426E59-06CD-44A9-9827-A273C818F2A4}"/>
    <cellStyle name="Millares 71" xfId="1168" xr:uid="{00000000-0005-0000-0000-0000D0020000}"/>
    <cellStyle name="Millares 71 2" xfId="3594" xr:uid="{81801128-2D0F-49AE-A124-31A59E127935}"/>
    <cellStyle name="Millares 72" xfId="1180" xr:uid="{00000000-0005-0000-0000-0000D1020000}"/>
    <cellStyle name="Millares 72 2" xfId="3579" xr:uid="{0F955189-3DA2-4E12-821B-278A710476DE}"/>
    <cellStyle name="Millares 73" xfId="1194" xr:uid="{00000000-0005-0000-0000-0000D2020000}"/>
    <cellStyle name="Millares 73 2" xfId="3696" xr:uid="{DB652B52-6BAA-49D0-BBB4-BBA29A3C67D5}"/>
    <cellStyle name="Millares 74" xfId="1199" xr:uid="{00000000-0005-0000-0000-0000D3020000}"/>
    <cellStyle name="Millares 74 2" xfId="5096" xr:uid="{551E130F-5FD2-43DD-B34D-CBF87CC68992}"/>
    <cellStyle name="Millares 74 2 2" xfId="9664" xr:uid="{033BA71C-A2DF-47A2-A7CC-8B184F52FBFA}"/>
    <cellStyle name="Millares 74 3" xfId="7372" xr:uid="{0A63D43F-C0EB-459C-A039-24A6038C24D4}"/>
    <cellStyle name="Millares 74 4" xfId="2670" xr:uid="{1AF4D222-673E-473E-812E-DE58642EC871}"/>
    <cellStyle name="Millares 75" xfId="1202" xr:uid="{00000000-0005-0000-0000-0000D4020000}"/>
    <cellStyle name="Millares 75 2" xfId="5232" xr:uid="{BD57D2D3-2891-4FC2-AB7F-BAC1D8716F50}"/>
    <cellStyle name="Millares 75 2 2" xfId="9800" xr:uid="{9B48E149-0B1F-49CC-8AEF-F73DDD4BB4F3}"/>
    <cellStyle name="Millares 75 3" xfId="7508" xr:uid="{9EA75ACB-B4A1-47C9-B314-E1D0C5478D6C}"/>
    <cellStyle name="Millares 75 4" xfId="2807" xr:uid="{7F9A48E7-C8ED-4EFD-8DC2-386E84A1E544}"/>
    <cellStyle name="Millares 76" xfId="1215" xr:uid="{00000000-0005-0000-0000-0000D5020000}"/>
    <cellStyle name="Millares 76 2" xfId="5148" xr:uid="{6C0F2303-3153-43B9-BEAA-D6BE691A84BB}"/>
    <cellStyle name="Millares 76 2 2" xfId="9716" xr:uid="{077E4949-A9A5-46D3-976D-A509F8D0D4ED}"/>
    <cellStyle name="Millares 76 3" xfId="7424" xr:uid="{0A22159B-38AE-40FA-9B2D-9DCFDB2428B2}"/>
    <cellStyle name="Millares 76 4" xfId="2722" xr:uid="{9DA58220-EBDB-4387-89F2-85275F0F095E}"/>
    <cellStyle name="Millares 77" xfId="1228" xr:uid="{00000000-0005-0000-0000-0000D6020000}"/>
    <cellStyle name="Millares 77 2" xfId="6250" xr:uid="{AB70E952-CB1A-4297-A3E0-FD6C32BBB9C1}"/>
    <cellStyle name="Millares 77 2 2" xfId="10818" xr:uid="{EA2D94EB-8A13-4109-99D5-772A8BD99107}"/>
    <cellStyle name="Millares 77 3" xfId="8526" xr:uid="{0993BAF6-6273-465F-BDE0-6E053287CDFA}"/>
    <cellStyle name="Millares 77 4" xfId="3956" xr:uid="{9782B80D-D172-44DF-A14C-8C7D38D3FA5F}"/>
    <cellStyle name="Millares 78" xfId="1251" xr:uid="{00000000-0005-0000-0000-0000D7020000}"/>
    <cellStyle name="Millares 78 2" xfId="6249" xr:uid="{1C3DA60A-2866-4603-9CC6-87C8E3400F51}"/>
    <cellStyle name="Millares 78 2 2" xfId="10817" xr:uid="{FE7C79B0-9B73-448C-B774-DDDA2D9F9F8A}"/>
    <cellStyle name="Millares 78 3" xfId="8525" xr:uid="{A3118DB2-3E4E-43F3-BF12-1B40C20FB697}"/>
    <cellStyle name="Millares 78 4" xfId="3955" xr:uid="{37438052-AD0C-4CE3-B671-6D2A0E482F02}"/>
    <cellStyle name="Millares 79" xfId="1255" xr:uid="{00000000-0005-0000-0000-0000D8020000}"/>
    <cellStyle name="Millares 79 2" xfId="8797" xr:uid="{E25FC5CB-57EF-4130-9F31-5A4A9AF1438E}"/>
    <cellStyle name="Millares 79 3" xfId="4229" xr:uid="{7C845B1C-F135-430F-B9B6-C6DD434CBA10}"/>
    <cellStyle name="Millares 8" xfId="504" xr:uid="{00000000-0005-0000-0000-0000D9020000}"/>
    <cellStyle name="Millares 8 10" xfId="505" xr:uid="{00000000-0005-0000-0000-0000DA020000}"/>
    <cellStyle name="Millares 8 10 2" xfId="506" xr:uid="{00000000-0005-0000-0000-0000DB020000}"/>
    <cellStyle name="Millares 8 10 2 2" xfId="1756" xr:uid="{0B572278-7CAE-433E-9839-E322753D66DC}"/>
    <cellStyle name="Millares 8 10 2 3" xfId="2115" xr:uid="{6433421F-06E2-4C92-986F-09FFA9EF79DA}"/>
    <cellStyle name="Millares 8 10 2 3 2" xfId="3768" xr:uid="{ED7DC6A8-C403-42BB-B46D-245B7671AF9B}"/>
    <cellStyle name="Millares 8 10 2 4" xfId="4113" xr:uid="{5DBB00F6-5219-4CD2-9605-0E63EA10BBBD}"/>
    <cellStyle name="Millares 8 10 2 4 2" xfId="8682" xr:uid="{E24C71F7-BE5F-49DE-BE3F-7653B7124FA0}"/>
    <cellStyle name="Millares 8 10 2 5" xfId="1470" xr:uid="{C754B81F-938C-4E73-B239-AF5B7D22FAE4}"/>
    <cellStyle name="Millares 8 10 3" xfId="1755" xr:uid="{3EA72CBD-7FE8-4BB3-A871-E9B54926B338}"/>
    <cellStyle name="Millares 8 10 4" xfId="2114" xr:uid="{EC0677B5-DF66-4578-9C58-7017130DEDA3}"/>
    <cellStyle name="Millares 8 10 4 2" xfId="3767" xr:uid="{C92A0945-F64A-420F-95D9-5456FF01BF34}"/>
    <cellStyle name="Millares 8 10 5" xfId="4112" xr:uid="{A22116A8-74A6-44E7-9226-B8A5B9D2945C}"/>
    <cellStyle name="Millares 8 10 5 2" xfId="8681" xr:uid="{DA28CCB4-4382-4BBC-82A6-4D7502396252}"/>
    <cellStyle name="Millares 8 10 6" xfId="1469" xr:uid="{2EE8115D-0686-4F53-8429-84C9C57B210D}"/>
    <cellStyle name="Millares 8 11" xfId="507" xr:uid="{00000000-0005-0000-0000-0000DC020000}"/>
    <cellStyle name="Millares 8 12" xfId="980" xr:uid="{00000000-0005-0000-0000-0000DD020000}"/>
    <cellStyle name="Millares 8 13" xfId="1001" xr:uid="{00000000-0005-0000-0000-0000DE020000}"/>
    <cellStyle name="Millares 8 14" xfId="1018" xr:uid="{00000000-0005-0000-0000-0000DF020000}"/>
    <cellStyle name="Millares 8 2" xfId="508" xr:uid="{00000000-0005-0000-0000-0000E0020000}"/>
    <cellStyle name="Millares 8 2 2" xfId="509" xr:uid="{00000000-0005-0000-0000-0000E1020000}"/>
    <cellStyle name="Millares 8 2 2 2" xfId="510" xr:uid="{00000000-0005-0000-0000-0000E2020000}"/>
    <cellStyle name="Millares 8 2 2 2 2" xfId="1759" xr:uid="{DCC97FEE-8093-497D-A5A9-BBAB0E66754A}"/>
    <cellStyle name="Millares 8 2 2 2 3" xfId="2118" xr:uid="{30E2827E-0C66-47A9-9C51-C68A2BE2E92B}"/>
    <cellStyle name="Millares 8 2 2 2 3 2" xfId="3771" xr:uid="{B8AE973D-C3F9-4738-A4A4-595BD5B92D7D}"/>
    <cellStyle name="Millares 8 2 2 2 4" xfId="4116" xr:uid="{EDCE7047-FFDE-4596-855B-6E9D094B024D}"/>
    <cellStyle name="Millares 8 2 2 2 4 2" xfId="8685" xr:uid="{B0D9CE6A-B5DB-4138-9C7B-ED53C28298B8}"/>
    <cellStyle name="Millares 8 2 2 2 5" xfId="1473" xr:uid="{67E624CA-FD00-4126-88C2-766803EE5F84}"/>
    <cellStyle name="Millares 8 2 2 3" xfId="1758" xr:uid="{6A6DA878-040F-4CB8-80A1-CBF88253D0BA}"/>
    <cellStyle name="Millares 8 2 2 4" xfId="2117" xr:uid="{427216F6-3E92-4F9B-BB68-C8F4836274BC}"/>
    <cellStyle name="Millares 8 2 2 4 2" xfId="3770" xr:uid="{49660CA9-FC22-43ED-A891-D37480A0899F}"/>
    <cellStyle name="Millares 8 2 2 5" xfId="4115" xr:uid="{23C98855-DD77-4946-B628-2349F340C1C9}"/>
    <cellStyle name="Millares 8 2 2 5 2" xfId="8684" xr:uid="{A7BF36D5-8B79-4809-99FD-6158FAAC23CB}"/>
    <cellStyle name="Millares 8 2 2 6" xfId="1472" xr:uid="{E8297107-C8AE-402F-85FD-3AE8501FC782}"/>
    <cellStyle name="Millares 8 2 3" xfId="511" xr:uid="{00000000-0005-0000-0000-0000E3020000}"/>
    <cellStyle name="Millares 8 2 3 2" xfId="1760" xr:uid="{1B182FDC-C1B2-4A64-9F57-7FD97B63D902}"/>
    <cellStyle name="Millares 8 2 3 3" xfId="2119" xr:uid="{9A8687D7-0487-4579-8085-FC4C88B83019}"/>
    <cellStyle name="Millares 8 2 3 3 2" xfId="3772" xr:uid="{4EC44744-C52E-48EF-ADEC-F4B0C1F3B2EE}"/>
    <cellStyle name="Millares 8 2 3 4" xfId="4117" xr:uid="{246322EE-A250-46E9-B3D7-7F7367DAC50F}"/>
    <cellStyle name="Millares 8 2 3 4 2" xfId="8686" xr:uid="{5146E375-F437-4189-9BAA-A0C8FF37C190}"/>
    <cellStyle name="Millares 8 2 3 5" xfId="1474" xr:uid="{651E4D81-7568-4843-A981-7F3CDB396078}"/>
    <cellStyle name="Millares 8 2 4" xfId="1757" xr:uid="{C4A079F8-6C04-42E3-9148-D0A6D30262AB}"/>
    <cellStyle name="Millares 8 2 5" xfId="2116" xr:uid="{70263361-477A-43E3-8254-E292DBF12309}"/>
    <cellStyle name="Millares 8 2 5 2" xfId="3769" xr:uid="{864CE5EF-2DA5-4107-90F5-5224528E1067}"/>
    <cellStyle name="Millares 8 2 6" xfId="4114" xr:uid="{6F6A91E1-289F-4044-8DBF-FE2A60EF299A}"/>
    <cellStyle name="Millares 8 2 6 2" xfId="8683" xr:uid="{6FAF617C-C51B-4FB8-8D07-0C9374EC092A}"/>
    <cellStyle name="Millares 8 2 7" xfId="1471" xr:uid="{A76DDE3B-AA79-469B-A3FF-220ACA054205}"/>
    <cellStyle name="Millares 8 3" xfId="512" xr:uid="{00000000-0005-0000-0000-0000E4020000}"/>
    <cellStyle name="Millares 8 3 2" xfId="513" xr:uid="{00000000-0005-0000-0000-0000E5020000}"/>
    <cellStyle name="Millares 8 3 2 2" xfId="514" xr:uid="{00000000-0005-0000-0000-0000E6020000}"/>
    <cellStyle name="Millares 8 3 2 2 2" xfId="1763" xr:uid="{1C30C55D-0F4F-454E-9CE5-A5B7CADC28B2}"/>
    <cellStyle name="Millares 8 3 2 2 3" xfId="2122" xr:uid="{7AEC8123-01BF-4A39-994E-02C29E3AB141}"/>
    <cellStyle name="Millares 8 3 2 2 3 2" xfId="3775" xr:uid="{E66E2699-E910-45E2-A586-215BDD09DF82}"/>
    <cellStyle name="Millares 8 3 2 2 4" xfId="4120" xr:uid="{3393B4F2-E985-4373-B6F6-D36FB0D1D399}"/>
    <cellStyle name="Millares 8 3 2 2 4 2" xfId="8689" xr:uid="{C468809B-729E-4617-8227-0BFF5456A97B}"/>
    <cellStyle name="Millares 8 3 2 2 5" xfId="1477" xr:uid="{44DAED2E-BB23-4103-8525-16B84DBE2820}"/>
    <cellStyle name="Millares 8 3 2 3" xfId="1762" xr:uid="{2F5AC2BF-B472-4FB7-BCB5-26625D3B8B2B}"/>
    <cellStyle name="Millares 8 3 2 4" xfId="2121" xr:uid="{A17D156A-0C00-4BB3-B40F-5BD359BA9D03}"/>
    <cellStyle name="Millares 8 3 2 4 2" xfId="3774" xr:uid="{9E0E7FA7-6A70-4A32-A974-5E1E9C448B60}"/>
    <cellStyle name="Millares 8 3 2 5" xfId="4119" xr:uid="{A3D829C3-EC5B-4B23-9344-7185EE5EDE40}"/>
    <cellStyle name="Millares 8 3 2 5 2" xfId="8688" xr:uid="{46C079E5-4BD5-48BF-937F-E38B4E974D8C}"/>
    <cellStyle name="Millares 8 3 2 6" xfId="1476" xr:uid="{487E458B-E8DE-4688-A704-D1DE1A184C4F}"/>
    <cellStyle name="Millares 8 3 3" xfId="515" xr:uid="{00000000-0005-0000-0000-0000E7020000}"/>
    <cellStyle name="Millares 8 3 3 2" xfId="1764" xr:uid="{F803E710-04E3-4A7A-9E2E-4856C670944E}"/>
    <cellStyle name="Millares 8 3 3 3" xfId="2123" xr:uid="{DD638D4D-7C92-4B65-9B80-DAF6EA445C9D}"/>
    <cellStyle name="Millares 8 3 3 3 2" xfId="3776" xr:uid="{6A6B1A9C-7AB6-41BA-AC64-A0D42AB98D31}"/>
    <cellStyle name="Millares 8 3 3 4" xfId="4121" xr:uid="{53A8CC6E-41AD-4826-BF89-BDEBAFFF0EBC}"/>
    <cellStyle name="Millares 8 3 3 4 2" xfId="8690" xr:uid="{BC7FF2B0-18A1-441C-894C-A4201174D744}"/>
    <cellStyle name="Millares 8 3 3 5" xfId="1478" xr:uid="{F3EC6336-945A-4D64-8695-493FE4AE8F49}"/>
    <cellStyle name="Millares 8 3 4" xfId="1761" xr:uid="{163D5B37-D8D7-43B3-B77E-6F797524DE98}"/>
    <cellStyle name="Millares 8 3 5" xfId="2120" xr:uid="{E3270580-D414-4BC4-B66C-A45F90505AF2}"/>
    <cellStyle name="Millares 8 3 5 2" xfId="3773" xr:uid="{81190BB6-423C-4FB5-94E0-AC6C9369047A}"/>
    <cellStyle name="Millares 8 3 6" xfId="4118" xr:uid="{E1F68F75-0B4F-4C68-9E63-B8DA2F0661AE}"/>
    <cellStyle name="Millares 8 3 6 2" xfId="8687" xr:uid="{1B1A04DB-2D98-4DB3-8033-38FCD5EC8445}"/>
    <cellStyle name="Millares 8 3 7" xfId="1475" xr:uid="{FDB15534-36E2-4DC4-8AF8-327111A82AA8}"/>
    <cellStyle name="Millares 8 4" xfId="516" xr:uid="{00000000-0005-0000-0000-0000E8020000}"/>
    <cellStyle name="Millares 8 4 2" xfId="517" xr:uid="{00000000-0005-0000-0000-0000E9020000}"/>
    <cellStyle name="Millares 8 4 2 2" xfId="518" xr:uid="{00000000-0005-0000-0000-0000EA020000}"/>
    <cellStyle name="Millares 8 4 2 2 2" xfId="1767" xr:uid="{34C6EF72-943F-4146-97DD-623F0C36E840}"/>
    <cellStyle name="Millares 8 4 2 2 3" xfId="2126" xr:uid="{BBD6CC7C-365D-4C13-A4F3-94F53A5D79E5}"/>
    <cellStyle name="Millares 8 4 2 2 3 2" xfId="3779" xr:uid="{5A6C0F35-324F-46FB-8CC9-941BEBED29AC}"/>
    <cellStyle name="Millares 8 4 2 2 4" xfId="4124" xr:uid="{FBEEAA43-5990-4BAF-8C33-04039FE2F8C2}"/>
    <cellStyle name="Millares 8 4 2 2 4 2" xfId="8693" xr:uid="{D2C54C9A-D0E2-421F-967A-E909E9E6BB61}"/>
    <cellStyle name="Millares 8 4 2 2 5" xfId="1481" xr:uid="{FB818B4A-C6D4-4ED7-960A-22C924DB98E3}"/>
    <cellStyle name="Millares 8 4 2 3" xfId="1766" xr:uid="{5492286B-0F5D-41B0-8924-88DDC5738485}"/>
    <cellStyle name="Millares 8 4 2 4" xfId="2125" xr:uid="{1ACF3730-A387-4451-9FCF-8DB4126914AC}"/>
    <cellStyle name="Millares 8 4 2 4 2" xfId="3778" xr:uid="{B1BA0E6A-FE7D-4566-A4B1-AC4B1374992F}"/>
    <cellStyle name="Millares 8 4 2 5" xfId="4123" xr:uid="{45DEB2A7-3E8F-4858-86C0-2385D248B685}"/>
    <cellStyle name="Millares 8 4 2 5 2" xfId="8692" xr:uid="{DED63F9A-32E0-405B-8B7B-80B464325ABE}"/>
    <cellStyle name="Millares 8 4 2 6" xfId="1480" xr:uid="{B06E6BE7-6E26-4E43-97C4-29BBE67C8420}"/>
    <cellStyle name="Millares 8 4 3" xfId="519" xr:uid="{00000000-0005-0000-0000-0000EB020000}"/>
    <cellStyle name="Millares 8 4 3 2" xfId="1768" xr:uid="{9698F8C8-8051-44D4-B413-0553C8724A2A}"/>
    <cellStyle name="Millares 8 4 3 3" xfId="2127" xr:uid="{C99EFA23-5AF0-4AF6-B4A6-26620E498100}"/>
    <cellStyle name="Millares 8 4 3 3 2" xfId="3780" xr:uid="{81880A6E-DDBE-44B0-BAD8-4C65A70C652D}"/>
    <cellStyle name="Millares 8 4 3 4" xfId="4125" xr:uid="{1FA066C6-152C-4B24-8D7F-03E17B3DE01D}"/>
    <cellStyle name="Millares 8 4 3 4 2" xfId="8694" xr:uid="{5B4306AE-2FAD-41D3-A957-D5298F162941}"/>
    <cellStyle name="Millares 8 4 3 5" xfId="1482" xr:uid="{FC0BFD93-AC32-4974-8581-54BD7ACA1FBE}"/>
    <cellStyle name="Millares 8 4 4" xfId="1765" xr:uid="{51114F5E-70B9-43B5-8160-26B755FAE187}"/>
    <cellStyle name="Millares 8 4 5" xfId="2124" xr:uid="{A86FE9AE-0FC2-4C08-9910-D9B472815F32}"/>
    <cellStyle name="Millares 8 4 5 2" xfId="3777" xr:uid="{3CD01FB2-989D-482E-A592-347CC0A8EAFC}"/>
    <cellStyle name="Millares 8 4 6" xfId="4122" xr:uid="{482EBB8E-E5C2-4781-B6C8-44DE03ADAF48}"/>
    <cellStyle name="Millares 8 4 6 2" xfId="8691" xr:uid="{D9E23AAA-FE2F-438D-92D5-ADCBD5189DD0}"/>
    <cellStyle name="Millares 8 4 7" xfId="1479" xr:uid="{111C1EAC-D9AB-4814-92B0-B5524A81C3EE}"/>
    <cellStyle name="Millares 8 5" xfId="520" xr:uid="{00000000-0005-0000-0000-0000EC020000}"/>
    <cellStyle name="Millares 8 5 2" xfId="521" xr:uid="{00000000-0005-0000-0000-0000ED020000}"/>
    <cellStyle name="Millares 8 5 2 2" xfId="522" xr:uid="{00000000-0005-0000-0000-0000EE020000}"/>
    <cellStyle name="Millares 8 5 2 2 2" xfId="1771" xr:uid="{64E3D338-A5BB-482D-BB9E-5302BE87E0D7}"/>
    <cellStyle name="Millares 8 5 2 2 3" xfId="2130" xr:uid="{02170AA2-71F9-42DB-8858-FB3FF3CA4459}"/>
    <cellStyle name="Millares 8 5 2 2 3 2" xfId="3783" xr:uid="{CEA48292-A4DB-4D59-A110-8B272E9208BE}"/>
    <cellStyle name="Millares 8 5 2 2 4" xfId="4128" xr:uid="{EA068F8B-642D-4A7C-B8D3-81D80FFE99C8}"/>
    <cellStyle name="Millares 8 5 2 2 4 2" xfId="8697" xr:uid="{88464237-C67F-4F41-9706-B26F61306D63}"/>
    <cellStyle name="Millares 8 5 2 2 5" xfId="1485" xr:uid="{6AD2C291-2053-42E7-AC6D-AA37D87D8EEE}"/>
    <cellStyle name="Millares 8 5 2 3" xfId="1770" xr:uid="{F36F1DE7-102F-465C-94D9-135015F88210}"/>
    <cellStyle name="Millares 8 5 2 4" xfId="2129" xr:uid="{ABE29C66-91FA-4068-99E9-5A6340B8BD5C}"/>
    <cellStyle name="Millares 8 5 2 4 2" xfId="3782" xr:uid="{B7C82409-1C6E-4021-A903-CD1906D4B8B1}"/>
    <cellStyle name="Millares 8 5 2 5" xfId="4127" xr:uid="{34DDE3E3-75F5-408E-88B9-6F01A1B5D254}"/>
    <cellStyle name="Millares 8 5 2 5 2" xfId="8696" xr:uid="{472973E1-82EC-4F9D-8122-FF9AD7FB8AEB}"/>
    <cellStyle name="Millares 8 5 2 6" xfId="1484" xr:uid="{88B2DF38-E2F4-44D4-8BCC-738F2C8462E3}"/>
    <cellStyle name="Millares 8 5 3" xfId="523" xr:uid="{00000000-0005-0000-0000-0000EF020000}"/>
    <cellStyle name="Millares 8 5 3 2" xfId="1772" xr:uid="{05A03279-8DAE-4B4B-AAEB-CF3149D81572}"/>
    <cellStyle name="Millares 8 5 3 3" xfId="2131" xr:uid="{836C8001-193C-4849-A64E-83D4A3092BFA}"/>
    <cellStyle name="Millares 8 5 3 3 2" xfId="3784" xr:uid="{0B9F0ECD-B390-439D-9A28-3994AD258E25}"/>
    <cellStyle name="Millares 8 5 3 4" xfId="4129" xr:uid="{6137EEE1-E2BD-47C5-B0A0-30A4DA16C4D8}"/>
    <cellStyle name="Millares 8 5 3 4 2" xfId="8698" xr:uid="{1432B536-FB69-491F-B74F-A09A80AE81D8}"/>
    <cellStyle name="Millares 8 5 3 5" xfId="1486" xr:uid="{A8943BDB-81C3-4F90-A4B5-BEEF2775ACF7}"/>
    <cellStyle name="Millares 8 5 4" xfId="1769" xr:uid="{A80FA903-0728-4DAC-9619-CBD6900F781A}"/>
    <cellStyle name="Millares 8 5 5" xfId="2128" xr:uid="{B59660CD-5859-4B31-B5A8-D984E2CD8643}"/>
    <cellStyle name="Millares 8 5 5 2" xfId="3781" xr:uid="{4021FDE6-DAE3-42F3-BB18-40C415199309}"/>
    <cellStyle name="Millares 8 5 6" xfId="4126" xr:uid="{815097B8-B3CC-4BCB-B5A4-94C2681E11E4}"/>
    <cellStyle name="Millares 8 5 6 2" xfId="8695" xr:uid="{42DD9818-CAF2-4D0E-8A35-F3058855C90B}"/>
    <cellStyle name="Millares 8 5 7" xfId="1483" xr:uid="{B1AE79B1-10DB-4647-B0B0-E5B818E382BE}"/>
    <cellStyle name="Millares 8 6" xfId="524" xr:uid="{00000000-0005-0000-0000-0000F0020000}"/>
    <cellStyle name="Millares 8 6 2" xfId="525" xr:uid="{00000000-0005-0000-0000-0000F1020000}"/>
    <cellStyle name="Millares 8 6 2 2" xfId="526" xr:uid="{00000000-0005-0000-0000-0000F2020000}"/>
    <cellStyle name="Millares 8 6 2 2 2" xfId="1775" xr:uid="{84C78699-8610-4FE5-AB61-43DEEBE0F903}"/>
    <cellStyle name="Millares 8 6 2 2 3" xfId="2134" xr:uid="{7CB0CBF9-CF6A-4FD2-AF68-E4C92528219E}"/>
    <cellStyle name="Millares 8 6 2 2 3 2" xfId="3787" xr:uid="{825A7513-CE87-435A-AA51-27CE8B4543E8}"/>
    <cellStyle name="Millares 8 6 2 2 4" xfId="4132" xr:uid="{FDE111E1-C162-4049-B0BE-34D8D1348042}"/>
    <cellStyle name="Millares 8 6 2 2 4 2" xfId="8701" xr:uid="{7C6DBC8F-E41D-4DD8-BE99-E87306F76625}"/>
    <cellStyle name="Millares 8 6 2 2 5" xfId="1489" xr:uid="{79463A0C-58D2-4172-9723-57466285E8D7}"/>
    <cellStyle name="Millares 8 6 2 3" xfId="1774" xr:uid="{B8BF6E3A-72D2-4649-B800-A46E1C65868C}"/>
    <cellStyle name="Millares 8 6 2 4" xfId="2133" xr:uid="{6573C7F0-F0AB-4A22-9151-3A1B6BBB73B5}"/>
    <cellStyle name="Millares 8 6 2 4 2" xfId="3786" xr:uid="{B287AC33-384C-4D7A-878E-8030A6641762}"/>
    <cellStyle name="Millares 8 6 2 5" xfId="4131" xr:uid="{C180A891-7377-4533-8D83-E07B6E304FDB}"/>
    <cellStyle name="Millares 8 6 2 5 2" xfId="8700" xr:uid="{E7FA061C-3275-4E44-95E7-58F0C7B2344B}"/>
    <cellStyle name="Millares 8 6 2 6" xfId="1488" xr:uid="{E6989A2D-5C21-42B5-95AD-1914A7AD6149}"/>
    <cellStyle name="Millares 8 6 3" xfId="527" xr:uid="{00000000-0005-0000-0000-0000F3020000}"/>
    <cellStyle name="Millares 8 6 3 2" xfId="1776" xr:uid="{D97E1128-59C7-4F66-8F11-62B814673D42}"/>
    <cellStyle name="Millares 8 6 3 3" xfId="2135" xr:uid="{3C0AEDDF-9E2C-4956-B8A0-EFFE66AD92C4}"/>
    <cellStyle name="Millares 8 6 3 3 2" xfId="3788" xr:uid="{5949739B-D8E2-4167-A21A-BB91771AFE4E}"/>
    <cellStyle name="Millares 8 6 3 4" xfId="4133" xr:uid="{745117D0-0A61-4EE4-8F58-D3969C89686F}"/>
    <cellStyle name="Millares 8 6 3 4 2" xfId="8702" xr:uid="{82C77732-685D-410C-AB50-B98AC334DEDD}"/>
    <cellStyle name="Millares 8 6 3 5" xfId="1490" xr:uid="{F9081377-4B34-48D4-B148-6E3BF8F2EC5C}"/>
    <cellStyle name="Millares 8 6 4" xfId="1773" xr:uid="{7D6E6D18-B054-4CC6-9BBD-45D22F692C90}"/>
    <cellStyle name="Millares 8 6 5" xfId="2132" xr:uid="{57DC3E27-8268-4684-BC4F-4920AA039CC6}"/>
    <cellStyle name="Millares 8 6 5 2" xfId="3785" xr:uid="{8DC67554-B2B2-479F-AFF6-67BAE0EEBCEF}"/>
    <cellStyle name="Millares 8 6 6" xfId="4130" xr:uid="{B727315F-6C67-4B23-85B0-00EDC78BDF3E}"/>
    <cellStyle name="Millares 8 6 6 2" xfId="8699" xr:uid="{DE5EFC4C-1549-42C4-A038-E68E0B371271}"/>
    <cellStyle name="Millares 8 6 7" xfId="1487" xr:uid="{4151D4E9-2841-40C3-A155-CF2EAC56DEB4}"/>
    <cellStyle name="Millares 8 7" xfId="528" xr:uid="{00000000-0005-0000-0000-0000F4020000}"/>
    <cellStyle name="Millares 8 7 2" xfId="529" xr:uid="{00000000-0005-0000-0000-0000F5020000}"/>
    <cellStyle name="Millares 8 7 2 2" xfId="530" xr:uid="{00000000-0005-0000-0000-0000F6020000}"/>
    <cellStyle name="Millares 8 7 2 2 2" xfId="1779" xr:uid="{3446C603-4ADB-4525-8379-C18771A159A5}"/>
    <cellStyle name="Millares 8 7 2 2 3" xfId="2138" xr:uid="{33EE8C32-C773-4082-9FC5-91A894F45201}"/>
    <cellStyle name="Millares 8 7 2 2 3 2" xfId="3791" xr:uid="{08EEC207-C761-49ED-90D1-6DAE2C498453}"/>
    <cellStyle name="Millares 8 7 2 2 4" xfId="4136" xr:uid="{3A3AF8E5-43AE-4BE0-80C7-790BE38BA965}"/>
    <cellStyle name="Millares 8 7 2 2 4 2" xfId="8705" xr:uid="{FF3C4C8F-16E7-45AF-B38C-7513D48E1720}"/>
    <cellStyle name="Millares 8 7 2 2 5" xfId="1493" xr:uid="{02310CC6-AD23-44DF-A341-3339A8D71C78}"/>
    <cellStyle name="Millares 8 7 2 3" xfId="1778" xr:uid="{3F918678-2304-4E06-9D7E-A62E5E4E0337}"/>
    <cellStyle name="Millares 8 7 2 4" xfId="2137" xr:uid="{F01CA4DF-3FAB-4E9F-A9FE-975316068D1A}"/>
    <cellStyle name="Millares 8 7 2 4 2" xfId="3790" xr:uid="{2DF53AC2-6CC3-4D95-B9B4-6F10ED717034}"/>
    <cellStyle name="Millares 8 7 2 5" xfId="4135" xr:uid="{F2FE791E-D3BD-4FDF-97BB-37717E32A9D1}"/>
    <cellStyle name="Millares 8 7 2 5 2" xfId="8704" xr:uid="{72136266-EFC3-4C8F-ADF6-708CFD2CB646}"/>
    <cellStyle name="Millares 8 7 2 6" xfId="1492" xr:uid="{5D2E915D-5F01-4B04-B461-B240E9ADF6BE}"/>
    <cellStyle name="Millares 8 7 3" xfId="531" xr:uid="{00000000-0005-0000-0000-0000F7020000}"/>
    <cellStyle name="Millares 8 7 3 2" xfId="1780" xr:uid="{42716146-0820-4A33-8EC7-B4DB950D6CA1}"/>
    <cellStyle name="Millares 8 7 3 3" xfId="2139" xr:uid="{8FACA3B0-7C84-4D70-9935-8F9179300877}"/>
    <cellStyle name="Millares 8 7 3 3 2" xfId="3792" xr:uid="{BC3E3BFE-6177-4165-B00D-AF8E067A2BEC}"/>
    <cellStyle name="Millares 8 7 3 4" xfId="4137" xr:uid="{F511F933-3CD0-4475-A920-4F3187D1BA3A}"/>
    <cellStyle name="Millares 8 7 3 4 2" xfId="8706" xr:uid="{5C2ECEA9-BC48-4C29-A7D8-835221A6858F}"/>
    <cellStyle name="Millares 8 7 3 5" xfId="1494" xr:uid="{EEED3C5C-211E-4BDD-A915-810097061D82}"/>
    <cellStyle name="Millares 8 7 4" xfId="1777" xr:uid="{B1BF2B8D-0B91-4F3B-AE56-64C4C4851C7C}"/>
    <cellStyle name="Millares 8 7 5" xfId="2136" xr:uid="{D06F201F-06CA-41D4-AF58-920741209018}"/>
    <cellStyle name="Millares 8 7 5 2" xfId="3789" xr:uid="{37F1BC8B-0ECC-494F-BC04-8160BE5D1FC1}"/>
    <cellStyle name="Millares 8 7 6" xfId="4134" xr:uid="{DB7BBBB3-38C6-4A1B-A454-5EDD1E787BC1}"/>
    <cellStyle name="Millares 8 7 6 2" xfId="8703" xr:uid="{EF5FB075-993B-406B-AFEA-3C98A32C699C}"/>
    <cellStyle name="Millares 8 7 7" xfId="1491" xr:uid="{A6A99F1B-6B2C-4444-991E-B532A393DD7C}"/>
    <cellStyle name="Millares 8 8" xfId="532" xr:uid="{00000000-0005-0000-0000-0000F8020000}"/>
    <cellStyle name="Millares 8 8 2" xfId="533" xr:uid="{00000000-0005-0000-0000-0000F9020000}"/>
    <cellStyle name="Millares 8 8 2 2" xfId="534" xr:uid="{00000000-0005-0000-0000-0000FA020000}"/>
    <cellStyle name="Millares 8 8 2 2 2" xfId="1783" xr:uid="{8F3639D4-0C3A-456A-8342-9A6D305092C7}"/>
    <cellStyle name="Millares 8 8 2 2 3" xfId="2142" xr:uid="{042AB411-C73B-422E-9906-37578EFFBBC2}"/>
    <cellStyle name="Millares 8 8 2 2 3 2" xfId="3795" xr:uid="{1DB17A04-072F-4F0E-8C2F-60D1B0EC4E2B}"/>
    <cellStyle name="Millares 8 8 2 2 4" xfId="4140" xr:uid="{189A0A7F-D3B4-4F4D-A02A-8FF37D1EFB24}"/>
    <cellStyle name="Millares 8 8 2 2 4 2" xfId="8709" xr:uid="{9EED0F33-A1DF-4280-B22F-FBEE4BA61344}"/>
    <cellStyle name="Millares 8 8 2 2 5" xfId="1497" xr:uid="{80B83C2C-3675-42EC-B03F-51D06F070FE4}"/>
    <cellStyle name="Millares 8 8 2 3" xfId="1782" xr:uid="{C0A1F318-195F-4073-81A3-4048710E642F}"/>
    <cellStyle name="Millares 8 8 2 4" xfId="2141" xr:uid="{3645F1D6-9CC2-4AEB-A553-C51A55B50161}"/>
    <cellStyle name="Millares 8 8 2 4 2" xfId="3794" xr:uid="{C0BDA413-67BE-498C-93BD-4686A2CDF6D0}"/>
    <cellStyle name="Millares 8 8 2 5" xfId="4139" xr:uid="{509C5697-BE23-4776-9800-D1E8A9ABBF3A}"/>
    <cellStyle name="Millares 8 8 2 5 2" xfId="8708" xr:uid="{A41C6296-0176-45EE-8B4C-43C268D2E7CF}"/>
    <cellStyle name="Millares 8 8 2 6" xfId="1496" xr:uid="{A1BC187D-420D-43AB-BE1A-37AE42220529}"/>
    <cellStyle name="Millares 8 8 3" xfId="535" xr:uid="{00000000-0005-0000-0000-0000FB020000}"/>
    <cellStyle name="Millares 8 8 3 2" xfId="536" xr:uid="{00000000-0005-0000-0000-0000FC020000}"/>
    <cellStyle name="Millares 8 8 3 2 2" xfId="1785" xr:uid="{1A9C5DD3-2F16-4CDA-91FB-31D14552BC43}"/>
    <cellStyle name="Millares 8 8 3 2 3" xfId="2144" xr:uid="{3A48BF28-70AB-46E2-9443-C9E04B8319D8}"/>
    <cellStyle name="Millares 8 8 3 2 3 2" xfId="3797" xr:uid="{E464AC10-EBFE-4ADC-86D5-50D2E03C3B1C}"/>
    <cellStyle name="Millares 8 8 3 2 4" xfId="4142" xr:uid="{849894EF-0BA8-4B3F-B0B4-A1076C8EAEC3}"/>
    <cellStyle name="Millares 8 8 3 2 4 2" xfId="8711" xr:uid="{399A5A6C-40EB-43F1-8162-C80B91A48EA0}"/>
    <cellStyle name="Millares 8 8 3 2 5" xfId="1499" xr:uid="{69E7C73B-8C52-438A-947F-E9CBBDA42BDE}"/>
    <cellStyle name="Millares 8 8 3 3" xfId="1784" xr:uid="{96E9E46A-8E60-46D3-8493-0FB220FE94D2}"/>
    <cellStyle name="Millares 8 8 3 4" xfId="2143" xr:uid="{F5D4B110-C581-46D3-B53F-DC4C4A5A1098}"/>
    <cellStyle name="Millares 8 8 3 4 2" xfId="3796" xr:uid="{CD528F2A-1D67-49E9-9304-8648587420F7}"/>
    <cellStyle name="Millares 8 8 3 5" xfId="4141" xr:uid="{FC63FF35-256E-4B5A-9D49-644DD5EE4B3C}"/>
    <cellStyle name="Millares 8 8 3 5 2" xfId="8710" xr:uid="{BC5E40D3-FEAC-4A34-84B5-6C5C158874CD}"/>
    <cellStyle name="Millares 8 8 3 6" xfId="1498" xr:uid="{8FE937F5-FE86-4789-8615-A4F3FA508E9A}"/>
    <cellStyle name="Millares 8 8 4" xfId="537" xr:uid="{00000000-0005-0000-0000-0000FD020000}"/>
    <cellStyle name="Millares 8 8 4 2" xfId="538" xr:uid="{00000000-0005-0000-0000-0000FE020000}"/>
    <cellStyle name="Millares 8 8 4 2 2" xfId="1787" xr:uid="{C700925D-4DAF-4A0E-ADAA-3DA90CBDE1E2}"/>
    <cellStyle name="Millares 8 8 4 2 3" xfId="2146" xr:uid="{C9ABA564-9DC0-4924-8FB1-8E3614ED9DEB}"/>
    <cellStyle name="Millares 8 8 4 2 3 2" xfId="3799" xr:uid="{34B2ADA7-7DB9-46C3-AD71-301854B84595}"/>
    <cellStyle name="Millares 8 8 4 2 4" xfId="4144" xr:uid="{0434D59A-36A0-4760-94CC-E1687B032A82}"/>
    <cellStyle name="Millares 8 8 4 2 4 2" xfId="8713" xr:uid="{D491D3A7-B2D8-4D76-8AB4-4C41BF8ED721}"/>
    <cellStyle name="Millares 8 8 4 2 5" xfId="1501" xr:uid="{89B0A1E2-4873-478E-AFE9-6D4F9DE64E35}"/>
    <cellStyle name="Millares 8 8 4 3" xfId="1786" xr:uid="{1F2B6832-6F97-4C0A-90FC-CEE7E3E2B74E}"/>
    <cellStyle name="Millares 8 8 4 4" xfId="2145" xr:uid="{EF87597F-090C-4CB8-B413-46A2784E9BFB}"/>
    <cellStyle name="Millares 8 8 4 4 2" xfId="3798" xr:uid="{117E90DB-6FD2-47E8-9791-0AF2546F6830}"/>
    <cellStyle name="Millares 8 8 4 5" xfId="4143" xr:uid="{07B8D1F8-C3C4-4155-BFA0-F7FE8609CF42}"/>
    <cellStyle name="Millares 8 8 4 5 2" xfId="8712" xr:uid="{4DC0C481-B234-4C72-A431-3CDD233BA378}"/>
    <cellStyle name="Millares 8 8 4 6" xfId="1500" xr:uid="{D2DD1E8F-1287-44A9-87C4-C66D1CA95BA8}"/>
    <cellStyle name="Millares 8 8 5" xfId="539" xr:uid="{00000000-0005-0000-0000-0000FF020000}"/>
    <cellStyle name="Millares 8 8 5 2" xfId="1788" xr:uid="{E317BF91-B259-477C-B3BA-28E689C71C3D}"/>
    <cellStyle name="Millares 8 8 5 3" xfId="2147" xr:uid="{D0348547-A3B5-4CAA-8E7E-381D9BDE5BD3}"/>
    <cellStyle name="Millares 8 8 5 3 2" xfId="3800" xr:uid="{D1042FDB-61DA-415D-9555-AABADF122109}"/>
    <cellStyle name="Millares 8 8 5 4" xfId="4145" xr:uid="{3E89DE97-47F4-49BF-A26D-55D9FEA6E6B1}"/>
    <cellStyle name="Millares 8 8 5 4 2" xfId="8714" xr:uid="{FA6D9FE8-AFEE-4496-8326-63059CE7C3EC}"/>
    <cellStyle name="Millares 8 8 5 5" xfId="1502" xr:uid="{B6D891AC-4A4A-48B7-8F4D-5A8CE542486F}"/>
    <cellStyle name="Millares 8 8 6" xfId="1781" xr:uid="{A4AE7A4D-884F-4BFA-9769-FA68E9DCE2C7}"/>
    <cellStyle name="Millares 8 8 7" xfId="2140" xr:uid="{1AFAC60F-6388-44B7-9335-C56428B3D9F6}"/>
    <cellStyle name="Millares 8 8 7 2" xfId="3793" xr:uid="{C1381672-876E-4B14-BDCA-8E50D39F16B8}"/>
    <cellStyle name="Millares 8 8 8" xfId="4138" xr:uid="{F2F58DAD-3C8C-4F00-A225-493E83A92E45}"/>
    <cellStyle name="Millares 8 8 8 2" xfId="8707" xr:uid="{02265C2B-7245-4B5E-AC38-EC219831C862}"/>
    <cellStyle name="Millares 8 8 9" xfId="1495" xr:uid="{6427A1AE-6486-4E27-B95E-5B42E8CE0F62}"/>
    <cellStyle name="Millares 8 9" xfId="540" xr:uid="{00000000-0005-0000-0000-000000030000}"/>
    <cellStyle name="Millares 8 9 2" xfId="541" xr:uid="{00000000-0005-0000-0000-000001030000}"/>
    <cellStyle name="Millares 8 9 2 2" xfId="1790" xr:uid="{8298CF1C-7573-4549-83B4-BFC5B6D00D01}"/>
    <cellStyle name="Millares 8 9 2 3" xfId="2149" xr:uid="{E0F05998-1914-4DFC-A191-47644CF76F43}"/>
    <cellStyle name="Millares 8 9 2 3 2" xfId="3802" xr:uid="{72EB990B-DCD2-4325-AF41-AEB67442ACC8}"/>
    <cellStyle name="Millares 8 9 2 4" xfId="4147" xr:uid="{62D917FC-9655-40BB-991D-E3D71E2F6587}"/>
    <cellStyle name="Millares 8 9 2 4 2" xfId="8716" xr:uid="{962DDA15-EB32-41C7-91FE-1804FA2EDEA7}"/>
    <cellStyle name="Millares 8 9 2 5" xfId="1504" xr:uid="{978ABA29-6BEE-48ED-88E6-BADD4ADEC97A}"/>
    <cellStyle name="Millares 8 9 3" xfId="1789" xr:uid="{8206A3A2-647A-4CA8-93CE-2724A37EF777}"/>
    <cellStyle name="Millares 8 9 4" xfId="2148" xr:uid="{31F7BC93-61D6-4763-A218-0D522E3514A0}"/>
    <cellStyle name="Millares 8 9 4 2" xfId="3801" xr:uid="{F8E0F9C2-8639-4A70-8F1F-106402A056D6}"/>
    <cellStyle name="Millares 8 9 5" xfId="4146" xr:uid="{47AB3525-D661-4E84-B4FA-2F34CDA55986}"/>
    <cellStyle name="Millares 8 9 5 2" xfId="8715" xr:uid="{CEEDB56E-E7B2-40B3-9218-BDEA8DA1A8DE}"/>
    <cellStyle name="Millares 8 9 6" xfId="1503" xr:uid="{C3133852-8A6E-4E54-8FAF-86054BE30F5F}"/>
    <cellStyle name="Millares 80" xfId="1257" xr:uid="{00000000-0005-0000-0000-000002030000}"/>
    <cellStyle name="Millares 80 2" xfId="8626" xr:uid="{B8DED94D-A37A-4E18-993F-006562018067}"/>
    <cellStyle name="Millares 80 3" xfId="4057" xr:uid="{3553EFA4-AC29-4307-BDFE-50FFE537AE76}"/>
    <cellStyle name="Millares 81" xfId="1259" xr:uid="{00000000-0005-0000-0000-000003030000}"/>
    <cellStyle name="Millares 81 2" xfId="6506" xr:uid="{18E10B54-1C9B-4774-9ACF-DFFD6E134264}"/>
    <cellStyle name="Millares 82" xfId="1278" xr:uid="{3A25D437-79A2-4DED-8AC0-82BDBB10D544}"/>
    <cellStyle name="Millares 82 2" xfId="6423" xr:uid="{A4CE35A6-42C5-446B-B23C-21215F50A06E}"/>
    <cellStyle name="Millares 83" xfId="1281" xr:uid="{6A848BAD-1801-4AEC-88E9-B7A1986A3C98}"/>
    <cellStyle name="Millares 83 2" xfId="10943" xr:uid="{DF3CEAEE-4D0A-4534-B706-109F065CEC05}"/>
    <cellStyle name="Millares 84" xfId="1283" xr:uid="{B2F32D27-778C-4B12-B381-57695C1D4DF7}"/>
    <cellStyle name="Millares 84 2" xfId="10942" xr:uid="{D6500C47-66F1-4B74-8782-07158930D992}"/>
    <cellStyle name="Millares 85" xfId="1299" xr:uid="{CE3C274E-0E2E-4D51-BCBA-4A5CD9AAA0BA}"/>
    <cellStyle name="Millares 86" xfId="1307" xr:uid="{4440B2F2-236A-40C4-8738-0038D42472A2}"/>
    <cellStyle name="Millares 87" xfId="1310" xr:uid="{ACC57814-E9D2-424B-8903-DBFEC7EFA8F7}"/>
    <cellStyle name="Millares 88" xfId="1312" xr:uid="{45EAB48D-85AB-40FF-BAAA-6F2853596DA5}"/>
    <cellStyle name="Millares 89" xfId="1327" xr:uid="{403B00FF-2EEB-41A5-B7C7-317596F25BD9}"/>
    <cellStyle name="Millares 9" xfId="542" xr:uid="{00000000-0005-0000-0000-000004030000}"/>
    <cellStyle name="Millares 9 2" xfId="543" xr:uid="{00000000-0005-0000-0000-000005030000}"/>
    <cellStyle name="Millares 9 2 2" xfId="1791" xr:uid="{567EAB7B-9845-42EF-ADF8-5D8A55634B99}"/>
    <cellStyle name="Millares 9 2 3" xfId="2150" xr:uid="{919F2156-48BD-4830-8515-9836C6BDBBF4}"/>
    <cellStyle name="Millares 9 2 3 2" xfId="3803" xr:uid="{97E28D6D-1AA9-4150-A734-168230598C16}"/>
    <cellStyle name="Millares 9 2 4" xfId="1224" xr:uid="{00000000-0005-0000-0000-000006030000}"/>
    <cellStyle name="Millares 9 2 4 2" xfId="2731" xr:uid="{3A9E10E9-BD00-4C34-8199-6FCF26A73CAF}"/>
    <cellStyle name="Millares 9 2 4 3" xfId="5024" xr:uid="{F7DEB2E6-0628-40D7-AB66-AA9221DEF587}"/>
    <cellStyle name="Millares 9 2 4 3 2" xfId="9592" xr:uid="{AB5C00E0-A322-4FFF-9CF2-CB115A20A645}"/>
    <cellStyle name="Millares 9 2 4 4" xfId="7300" xr:uid="{5B36CF0C-C8C9-421C-A8AF-018E6FC69C2D}"/>
    <cellStyle name="Millares 9 2 4 5" xfId="2598" xr:uid="{97D29AA5-9EC4-43BC-A8E2-2B3EF69FAF93}"/>
    <cellStyle name="Millares 9 2 5" xfId="10944" xr:uid="{9002D8A7-9C89-46BC-A883-C909113E135F}"/>
    <cellStyle name="Millares 9 3" xfId="544" xr:uid="{00000000-0005-0000-0000-000007030000}"/>
    <cellStyle name="Millares 90" xfId="1330" xr:uid="{C2EBA12D-C7F4-49EE-ACEF-BF4C8E6342C4}"/>
    <cellStyle name="Millares 91" xfId="1332" xr:uid="{3F332A53-19AD-46F8-B90C-F570A74AABB9}"/>
    <cellStyle name="Millares 92" xfId="1586" xr:uid="{C9EB8332-7DF1-4166-8A8B-826B563DA661}"/>
    <cellStyle name="Millares 94" xfId="1338" xr:uid="{E06C18B8-4D37-4788-80E0-DFB28C880160}"/>
    <cellStyle name="Millares 95" xfId="1342" xr:uid="{DA3861C4-BC13-4D94-82CF-75707AF9FA93}"/>
    <cellStyle name="Moeda [0]_DEPREC" xfId="545" xr:uid="{00000000-0005-0000-0000-000008030000}"/>
    <cellStyle name="Moeda_DEPREC" xfId="546" xr:uid="{00000000-0005-0000-0000-000009030000}"/>
    <cellStyle name="Moneda 2" xfId="547" xr:uid="{00000000-0005-0000-0000-00000A030000}"/>
    <cellStyle name="Moneda 2 2" xfId="548" xr:uid="{00000000-0005-0000-0000-00000B030000}"/>
    <cellStyle name="Moneda 2 2 2" xfId="1792" xr:uid="{75C63D8D-D0C9-4BA9-AC88-D1E173D7D141}"/>
    <cellStyle name="Moneda 2 2 3" xfId="2732" xr:uid="{9DF0B24A-1654-4A92-9694-0AB332685F18}"/>
    <cellStyle name="Moneda 2 2 3 2" xfId="5157" xr:uid="{4210D375-2189-4229-AE69-BA1DF4DB49FA}"/>
    <cellStyle name="Moneda 2 2 3 2 2" xfId="9725" xr:uid="{92156E88-0297-4341-84C5-9807AEBD796E}"/>
    <cellStyle name="Moneda 2 2 3 3" xfId="7433" xr:uid="{A9BBD04A-9972-4EC0-9B6E-0DE85B2C96DD}"/>
    <cellStyle name="Moneda 2 2 4" xfId="1505" xr:uid="{F2BBE89E-5149-4249-8AB7-FA09CE553F88}"/>
    <cellStyle name="Moneda 2 3" xfId="549" xr:uid="{00000000-0005-0000-0000-00000C030000}"/>
    <cellStyle name="Moneda 3" xfId="550" xr:uid="{00000000-0005-0000-0000-00000D030000}"/>
    <cellStyle name="Moneda 3 2" xfId="551" xr:uid="{00000000-0005-0000-0000-00000E030000}"/>
    <cellStyle name="Moneda 4" xfId="552" xr:uid="{00000000-0005-0000-0000-00000F030000}"/>
    <cellStyle name="Moneda 4 2" xfId="553" xr:uid="{00000000-0005-0000-0000-000010030000}"/>
    <cellStyle name="Monétaire0" xfId="554" xr:uid="{00000000-0005-0000-0000-000011030000}"/>
    <cellStyle name="Morgan" xfId="555" xr:uid="{00000000-0005-0000-0000-000012030000}"/>
    <cellStyle name="Morgan 2" xfId="556" xr:uid="{00000000-0005-0000-0000-000013030000}"/>
    <cellStyle name="Morgan assump" xfId="557" xr:uid="{00000000-0005-0000-0000-000014030000}"/>
    <cellStyle name="Morgan pct assump" xfId="558" xr:uid="{00000000-0005-0000-0000-000015030000}"/>
    <cellStyle name="Morgan_CemArgos estados financieros consolidados oct.2010" xfId="559" xr:uid="{00000000-0005-0000-0000-000016030000}"/>
    <cellStyle name="movimentação" xfId="560" xr:uid="{00000000-0005-0000-0000-000017030000}"/>
    <cellStyle name="Muliple" xfId="561" xr:uid="{00000000-0005-0000-0000-000018030000}"/>
    <cellStyle name="Multiple" xfId="562" xr:uid="{00000000-0005-0000-0000-000019030000}"/>
    <cellStyle name="NA is zero" xfId="563" xr:uid="{00000000-0005-0000-0000-00001A030000}"/>
    <cellStyle name="Nedefinov n" xfId="564" xr:uid="{00000000-0005-0000-0000-00001B030000}"/>
    <cellStyle name="Nedefinov n 2" xfId="565" xr:uid="{00000000-0005-0000-0000-00001C030000}"/>
    <cellStyle name="Neutral 2" xfId="566" xr:uid="{00000000-0005-0000-0000-00001D030000}"/>
    <cellStyle name="Neutral 3" xfId="567" xr:uid="{00000000-0005-0000-0000-00001E030000}"/>
    <cellStyle name="Neutral 4" xfId="568" xr:uid="{00000000-0005-0000-0000-00001F030000}"/>
    <cellStyle name="NivelCol_1_PYG POR REGIONES REAL USD JUNIO 2010 V2" xfId="569" xr:uid="{00000000-0005-0000-0000-000020030000}"/>
    <cellStyle name="NivelFila_1_Flash Report Comparativo V_2010_con holdings_sc_consol_NV.1" xfId="570" xr:uid="{00000000-0005-0000-0000-000021030000}"/>
    <cellStyle name="no dec" xfId="937" xr:uid="{00000000-0005-0000-0000-000022030000}"/>
    <cellStyle name="No-definido" xfId="571" xr:uid="{00000000-0005-0000-0000-000023030000}"/>
    <cellStyle name="NoFill" xfId="572" xr:uid="{00000000-0005-0000-0000-000024030000}"/>
    <cellStyle name="NoFill 2" xfId="573" xr:uid="{00000000-0005-0000-0000-000025030000}"/>
    <cellStyle name="Normal" xfId="0" builtinId="0"/>
    <cellStyle name="Normal--" xfId="574" xr:uid="{00000000-0005-0000-0000-000027030000}"/>
    <cellStyle name="Normal - Style1" xfId="575" xr:uid="{00000000-0005-0000-0000-000028030000}"/>
    <cellStyle name="Normal [0]" xfId="576" xr:uid="{00000000-0005-0000-0000-000029030000}"/>
    <cellStyle name="Normal [0] 2" xfId="577" xr:uid="{00000000-0005-0000-0000-00002A030000}"/>
    <cellStyle name="Normal [1]" xfId="578" xr:uid="{00000000-0005-0000-0000-00002B030000}"/>
    <cellStyle name="Normal [1] 2" xfId="579" xr:uid="{00000000-0005-0000-0000-00002C030000}"/>
    <cellStyle name="Normal [2]" xfId="580" xr:uid="{00000000-0005-0000-0000-00002D030000}"/>
    <cellStyle name="Normal [3]" xfId="581" xr:uid="{00000000-0005-0000-0000-00002E030000}"/>
    <cellStyle name="Normal 10" xfId="582" xr:uid="{00000000-0005-0000-0000-00002F030000}"/>
    <cellStyle name="Normal 10 10" xfId="1506" xr:uid="{29C291E5-F621-457E-85F1-AE6FA4DD7105}"/>
    <cellStyle name="Normal 10 2" xfId="583" xr:uid="{00000000-0005-0000-0000-000030030000}"/>
    <cellStyle name="Normal 10 2 2" xfId="584" xr:uid="{00000000-0005-0000-0000-000031030000}"/>
    <cellStyle name="Normal 10 2 2 2" xfId="1795" xr:uid="{DF9F9B84-881B-43BF-8E76-D6ED435AC9F7}"/>
    <cellStyle name="Normal 10 2 2 2 2" xfId="2342" xr:uid="{B7B79295-3306-4576-B45F-E58A9EF8AD34}"/>
    <cellStyle name="Normal 10 2 2 2 2 2" xfId="3353" xr:uid="{02CF004E-6701-4F5B-989B-FB12E90EBD87}"/>
    <cellStyle name="Normal 10 2 2 2 2 2 2" xfId="5777" xr:uid="{AEF72A5B-1510-4086-B588-DA7C8683FD51}"/>
    <cellStyle name="Normal 10 2 2 2 2 2 2 2" xfId="10345" xr:uid="{D1780CC2-7DAD-4369-86E9-4C2DC35CC098}"/>
    <cellStyle name="Normal 10 2 2 2 2 2 3" xfId="8053" xr:uid="{42DC6415-CA69-4689-9CC6-24A5C7F261D0}"/>
    <cellStyle name="Normal 10 2 2 2 2 3" xfId="4768" xr:uid="{94C6E004-70D5-4473-A543-0E411710F547}"/>
    <cellStyle name="Normal 10 2 2 2 2 3 2" xfId="9336" xr:uid="{C2E7AA8F-79E4-4F07-92EE-8D6F5D6F1EA8}"/>
    <cellStyle name="Normal 10 2 2 2 2 4" xfId="7044" xr:uid="{209A1F7B-3ABB-4ED1-9D76-7955EC5AEB93}"/>
    <cellStyle name="Normal 10 2 2 2 3" xfId="2925" xr:uid="{199DAC61-0192-4CEC-9696-975979EB504B}"/>
    <cellStyle name="Normal 10 2 2 2 3 2" xfId="5349" xr:uid="{83FDC2BB-FC88-4037-AF0D-5569F276B6A7}"/>
    <cellStyle name="Normal 10 2 2 2 3 2 2" xfId="9917" xr:uid="{072B72AA-B079-4D96-8F89-F3CCB407FD6C}"/>
    <cellStyle name="Normal 10 2 2 2 3 3" xfId="7625" xr:uid="{207D18FE-6E5C-4B0B-858D-E10B1A251A8A}"/>
    <cellStyle name="Normal 10 2 2 2 4" xfId="4340" xr:uid="{9AA69342-123C-4DBC-8129-673548AF17CF}"/>
    <cellStyle name="Normal 10 2 2 2 4 2" xfId="8908" xr:uid="{ADC4DE02-9387-4A0A-B4FF-81D505ED03FF}"/>
    <cellStyle name="Normal 10 2 2 2 5" xfId="6616" xr:uid="{F962EA87-7D0B-4AD3-8C6B-73FEF3484B31}"/>
    <cellStyle name="Normal 10 2 2 3" xfId="2153" xr:uid="{88321D8B-0F16-453C-874A-2FFEF755B721}"/>
    <cellStyle name="Normal 10 2 2 3 2" xfId="3166" xr:uid="{E7078295-4ED8-44FB-B6C2-34CF37CC3F09}"/>
    <cellStyle name="Normal 10 2 2 3 2 2" xfId="5590" xr:uid="{CCBDC7AB-00A0-428F-B242-269F091608E2}"/>
    <cellStyle name="Normal 10 2 2 3 2 2 2" xfId="10158" xr:uid="{313BFBC4-14EE-48C8-B516-9D798F26C411}"/>
    <cellStyle name="Normal 10 2 2 3 2 3" xfId="7866" xr:uid="{CB184D64-9F6F-4779-887E-19BBB9423580}"/>
    <cellStyle name="Normal 10 2 2 3 3" xfId="4581" xr:uid="{BE5122E4-9D2D-43E3-A12D-35588D296F93}"/>
    <cellStyle name="Normal 10 2 2 3 3 2" xfId="9149" xr:uid="{DF3E7271-1E07-450C-899A-20591CE5E348}"/>
    <cellStyle name="Normal 10 2 2 3 4" xfId="6857" xr:uid="{922E58DD-F646-4797-93D2-3FFF63A7CA66}"/>
    <cellStyle name="Normal 10 2 2 4" xfId="2735" xr:uid="{1647DD58-901C-4001-8F90-B35C949D61CD}"/>
    <cellStyle name="Normal 10 2 2 4 2" xfId="5160" xr:uid="{C9E5009A-959B-4A18-AD54-8927EA6B635B}"/>
    <cellStyle name="Normal 10 2 2 4 2 2" xfId="9728" xr:uid="{E1EFDE90-1189-4E53-A4DA-03DACDE06D8E}"/>
    <cellStyle name="Normal 10 2 2 4 3" xfId="7436" xr:uid="{72A866FC-515E-4826-B35F-9CBD2C2D1AA0}"/>
    <cellStyle name="Normal 10 2 2 5" xfId="4150" xr:uid="{7BDA99F8-931D-4FDE-BD80-274585C0A70D}"/>
    <cellStyle name="Normal 10 2 2 5 2" xfId="8719" xr:uid="{F38EFCAF-44E9-47A9-B25A-1409A6D4503B}"/>
    <cellStyle name="Normal 10 2 2 6" xfId="6427" xr:uid="{5398CB87-5189-4D22-A8C4-7DADB4EAB421}"/>
    <cellStyle name="Normal 10 2 2 7" xfId="1508" xr:uid="{B015CFCF-CF39-43D0-A87C-579C1AEB6046}"/>
    <cellStyle name="Normal 10 2 3" xfId="1794" xr:uid="{0333ECC6-32D1-4F45-B93C-524C413EC4EF}"/>
    <cellStyle name="Normal 10 2 3 2" xfId="2341" xr:uid="{9BE04614-FDFA-4931-B9AF-47A23842B758}"/>
    <cellStyle name="Normal 10 2 3 2 2" xfId="3352" xr:uid="{49460B77-6EC3-4E6A-9F40-9C05554131EF}"/>
    <cellStyle name="Normal 10 2 3 2 2 2" xfId="5776" xr:uid="{BD18B226-9D8B-41E9-8F0F-2C1545A5B8A1}"/>
    <cellStyle name="Normal 10 2 3 2 2 2 2" xfId="10344" xr:uid="{81D82009-33AE-42FB-B5AE-9E90119BE282}"/>
    <cellStyle name="Normal 10 2 3 2 2 3" xfId="8052" xr:uid="{6B3BAA96-B35E-43F9-AF09-7E95F173810A}"/>
    <cellStyle name="Normal 10 2 3 2 3" xfId="4767" xr:uid="{E993ADA1-CC44-4039-A085-C6E731B7D171}"/>
    <cellStyle name="Normal 10 2 3 2 3 2" xfId="9335" xr:uid="{80BAD2C9-1AA0-4196-A7E7-B9244F8B1655}"/>
    <cellStyle name="Normal 10 2 3 2 4" xfId="7043" xr:uid="{F3FAFB77-A4DC-43B5-90E0-4ED8421EB63A}"/>
    <cellStyle name="Normal 10 2 3 3" xfId="2924" xr:uid="{AEF67D46-D159-4762-B617-767E4F425AC0}"/>
    <cellStyle name="Normal 10 2 3 3 2" xfId="5348" xr:uid="{73D1A1C6-767C-4329-BF3B-E65F8F6A9EA6}"/>
    <cellStyle name="Normal 10 2 3 3 2 2" xfId="9916" xr:uid="{58EC34EB-E9E2-4AD6-BB7F-6D42FFF1C373}"/>
    <cellStyle name="Normal 10 2 3 3 3" xfId="7624" xr:uid="{6B74B6EF-D1E9-487F-BAE0-F8ADDDDB217B}"/>
    <cellStyle name="Normal 10 2 3 4" xfId="4339" xr:uid="{9D0F422D-79D0-4D56-8FFB-7380781F1BCA}"/>
    <cellStyle name="Normal 10 2 3 4 2" xfId="8907" xr:uid="{9DBCD77E-9948-4090-9369-9E872B831FF0}"/>
    <cellStyle name="Normal 10 2 3 5" xfId="6615" xr:uid="{52DA71B3-CF33-4634-9888-035390EF856B}"/>
    <cellStyle name="Normal 10 2 4" xfId="2152" xr:uid="{33BF60F1-D4ED-42CE-A5A7-E3AFB342B0EC}"/>
    <cellStyle name="Normal 10 2 4 2" xfId="3165" xr:uid="{835B75EE-F6C9-4ED4-ADD4-4F126AE19F69}"/>
    <cellStyle name="Normal 10 2 4 2 2" xfId="5589" xr:uid="{7511F6A4-F718-4571-93FD-C6A22C74D41C}"/>
    <cellStyle name="Normal 10 2 4 2 2 2" xfId="10157" xr:uid="{8017CFF3-85D9-416B-A5D7-12C7C0832ACB}"/>
    <cellStyle name="Normal 10 2 4 2 3" xfId="7865" xr:uid="{A392FDFC-FB36-4E4B-85B4-CF1D66A87A19}"/>
    <cellStyle name="Normal 10 2 4 3" xfId="4580" xr:uid="{F055651A-8FBB-4695-BC66-3D3B258575FA}"/>
    <cellStyle name="Normal 10 2 4 3 2" xfId="9148" xr:uid="{04340499-A8F0-40B1-B1A4-563DBC57406C}"/>
    <cellStyle name="Normal 10 2 4 4" xfId="6856" xr:uid="{E8727416-D61E-4867-BB97-061905DDA341}"/>
    <cellStyle name="Normal 10 2 5" xfId="2734" xr:uid="{26670D3A-A7DF-4B6F-80CC-6A41B4ED20AD}"/>
    <cellStyle name="Normal 10 2 5 2" xfId="5159" xr:uid="{280D3EE5-AF07-461D-BB79-3B30D12566FB}"/>
    <cellStyle name="Normal 10 2 5 2 2" xfId="9727" xr:uid="{1AE5A9BA-3095-4702-9297-D628193C99DD}"/>
    <cellStyle name="Normal 10 2 5 3" xfId="7435" xr:uid="{2D949C52-73DF-40D9-A6FD-A4BC33DF5AC5}"/>
    <cellStyle name="Normal 10 2 6" xfId="4149" xr:uid="{60EC8377-38DA-4722-9793-00CFB6979842}"/>
    <cellStyle name="Normal 10 2 6 2" xfId="8718" xr:uid="{F5BF6CB3-9116-4057-869A-FC2079E4FB16}"/>
    <cellStyle name="Normal 10 2 7" xfId="6426" xr:uid="{D0273F6E-698A-4F46-8369-71214926ED8D}"/>
    <cellStyle name="Normal 10 2 8" xfId="1507" xr:uid="{23AB2E1C-6457-4557-9E88-0F779FFCE640}"/>
    <cellStyle name="Normal 10 3" xfId="585" xr:uid="{00000000-0005-0000-0000-000032030000}"/>
    <cellStyle name="Normal 10 3 2" xfId="586" xr:uid="{00000000-0005-0000-0000-000033030000}"/>
    <cellStyle name="Normal 10 3 2 2" xfId="1797" xr:uid="{A1E01E44-78F0-4BC1-A576-FAB98113F848}"/>
    <cellStyle name="Normal 10 3 2 2 2" xfId="2344" xr:uid="{4C19BABC-AD73-4B94-8CA0-F9B121FBC76E}"/>
    <cellStyle name="Normal 10 3 2 2 2 2" xfId="3355" xr:uid="{DF6A8C61-83E7-4FDF-BDBF-7EC7CD0FF79D}"/>
    <cellStyle name="Normal 10 3 2 2 2 2 2" xfId="5779" xr:uid="{190C96CA-0146-45FE-9BCE-00F2245E921F}"/>
    <cellStyle name="Normal 10 3 2 2 2 2 2 2" xfId="10347" xr:uid="{4755DA27-4FBD-4FF9-9D13-AAE01EB377B2}"/>
    <cellStyle name="Normal 10 3 2 2 2 2 3" xfId="8055" xr:uid="{E6464F58-FDBA-46D9-B14A-78064A5E0D57}"/>
    <cellStyle name="Normal 10 3 2 2 2 3" xfId="4770" xr:uid="{9EB8349A-7CC9-4C5C-81A9-18A9FE15A68B}"/>
    <cellStyle name="Normal 10 3 2 2 2 3 2" xfId="9338" xr:uid="{E92CB439-4119-42BE-9748-E3EA6AFEFD40}"/>
    <cellStyle name="Normal 10 3 2 2 2 4" xfId="7046" xr:uid="{D071E9C5-FD15-4013-8717-DD1C7259E272}"/>
    <cellStyle name="Normal 10 3 2 2 3" xfId="2927" xr:uid="{4065184C-A1A2-4CE8-B8F0-D51303C3DD6E}"/>
    <cellStyle name="Normal 10 3 2 2 3 2" xfId="5351" xr:uid="{EEE007AB-1784-4511-B6EA-7301AD15AB2F}"/>
    <cellStyle name="Normal 10 3 2 2 3 2 2" xfId="9919" xr:uid="{17BDC8B7-3D74-432B-B3C7-5CA4751FA876}"/>
    <cellStyle name="Normal 10 3 2 2 3 3" xfId="7627" xr:uid="{26A5E379-46C5-4AD8-9A0E-DA7B18CA4490}"/>
    <cellStyle name="Normal 10 3 2 2 4" xfId="4342" xr:uid="{3B400626-DEDB-45B2-B81F-D83FFDD9B891}"/>
    <cellStyle name="Normal 10 3 2 2 4 2" xfId="8910" xr:uid="{CD9325A8-D8F8-48A5-9C97-0ADB995BFF91}"/>
    <cellStyle name="Normal 10 3 2 2 5" xfId="6618" xr:uid="{BC8B1E26-6072-4E4D-9C48-A00E2E04BBD4}"/>
    <cellStyle name="Normal 10 3 2 3" xfId="2155" xr:uid="{2534F204-3EDA-444F-AFD5-A59ED84C9FF0}"/>
    <cellStyle name="Normal 10 3 2 3 2" xfId="3168" xr:uid="{6365A24E-5F3F-4E17-9E6D-E3CF99886979}"/>
    <cellStyle name="Normal 10 3 2 3 2 2" xfId="5592" xr:uid="{D53C5F2C-5E47-4050-9B6A-C5CA1FF9651A}"/>
    <cellStyle name="Normal 10 3 2 3 2 2 2" xfId="10160" xr:uid="{01E43FDD-BDB5-4590-A780-F549B43D547E}"/>
    <cellStyle name="Normal 10 3 2 3 2 3" xfId="7868" xr:uid="{8E68BBB8-B1DA-48B3-93BD-9C81D9732D98}"/>
    <cellStyle name="Normal 10 3 2 3 3" xfId="4583" xr:uid="{26A0363F-CF70-4051-B64A-86B7AB1E8397}"/>
    <cellStyle name="Normal 10 3 2 3 3 2" xfId="9151" xr:uid="{5A4D71FF-4C72-4122-BBA8-09B17D5DC868}"/>
    <cellStyle name="Normal 10 3 2 3 4" xfId="6859" xr:uid="{19A6225A-8FB6-493B-91EA-4BC69A93A223}"/>
    <cellStyle name="Normal 10 3 2 4" xfId="2737" xr:uid="{A9658206-5F9A-416B-B41A-CE97FAE9ED1E}"/>
    <cellStyle name="Normal 10 3 2 4 2" xfId="5162" xr:uid="{50187DDC-B51C-4043-B1E2-EEAD6B017A55}"/>
    <cellStyle name="Normal 10 3 2 4 2 2" xfId="9730" xr:uid="{9712B4A8-ADA2-4340-B2B1-DB3D5993E7E6}"/>
    <cellStyle name="Normal 10 3 2 4 3" xfId="7438" xr:uid="{A1813F3B-DC5F-44C8-8EB8-425407CBE1B4}"/>
    <cellStyle name="Normal 10 3 2 5" xfId="4152" xr:uid="{06F93FF6-4210-4973-90CF-D6C75A32627B}"/>
    <cellStyle name="Normal 10 3 2 5 2" xfId="8721" xr:uid="{AA5A40DC-0DA0-4B9A-AEE6-76C890E7225B}"/>
    <cellStyle name="Normal 10 3 2 6" xfId="6429" xr:uid="{53542D86-C2C4-4B1C-B7A4-57A40D9CE5A8}"/>
    <cellStyle name="Normal 10 3 2 7" xfId="1510" xr:uid="{9242DA0E-A14F-4EF5-9ADD-67B7B34637FC}"/>
    <cellStyle name="Normal 10 3 3" xfId="1796" xr:uid="{5C48A049-397B-456C-BB75-75BB03F42FF3}"/>
    <cellStyle name="Normal 10 3 3 2" xfId="2343" xr:uid="{C526DF3E-5344-4D2E-8BC3-80A5F13BB752}"/>
    <cellStyle name="Normal 10 3 3 2 2" xfId="3354" xr:uid="{A55C41A1-A0FE-4FC7-924A-AB16F3BF8A3C}"/>
    <cellStyle name="Normal 10 3 3 2 2 2" xfId="5778" xr:uid="{9C9394D8-6703-441C-9937-EDCA24897841}"/>
    <cellStyle name="Normal 10 3 3 2 2 2 2" xfId="10346" xr:uid="{5E8AD02B-853B-4B1C-8050-D7495989FA0E}"/>
    <cellStyle name="Normal 10 3 3 2 2 3" xfId="8054" xr:uid="{AB33A1E3-5270-4992-8E35-B1313F7869BF}"/>
    <cellStyle name="Normal 10 3 3 2 3" xfId="4769" xr:uid="{A8A95DC5-9BD3-4108-9238-E373A5971799}"/>
    <cellStyle name="Normal 10 3 3 2 3 2" xfId="9337" xr:uid="{1BA2C1B5-AA0E-4ABD-9112-E615476D4145}"/>
    <cellStyle name="Normal 10 3 3 2 4" xfId="7045" xr:uid="{BE24F313-BD6E-4552-9EC7-FF8F31C4B0FD}"/>
    <cellStyle name="Normal 10 3 3 3" xfId="2926" xr:uid="{69D7CBDF-F441-4652-85C2-025C103946D8}"/>
    <cellStyle name="Normal 10 3 3 3 2" xfId="5350" xr:uid="{A054B6A0-5CD9-40B9-9A6F-74FF0804C94F}"/>
    <cellStyle name="Normal 10 3 3 3 2 2" xfId="9918" xr:uid="{40C35D15-9627-4F29-B430-7210FA4105D8}"/>
    <cellStyle name="Normal 10 3 3 3 3" xfId="7626" xr:uid="{777FCF2B-5748-4E6A-8862-9CF0AB6D7004}"/>
    <cellStyle name="Normal 10 3 3 4" xfId="4341" xr:uid="{DCE1C1CD-B9C1-4819-B446-5804EC04344E}"/>
    <cellStyle name="Normal 10 3 3 4 2" xfId="8909" xr:uid="{CDA3CBE0-8FBE-4914-870A-AEE66BDB3628}"/>
    <cellStyle name="Normal 10 3 3 5" xfId="6617" xr:uid="{0FB91D00-0759-4D56-A43E-389774A86F17}"/>
    <cellStyle name="Normal 10 3 4" xfId="2154" xr:uid="{DFC1A2B4-7126-42A4-8348-05A454F3A2BE}"/>
    <cellStyle name="Normal 10 3 4 2" xfId="3167" xr:uid="{88A80188-9041-463A-B149-99DDC2F76974}"/>
    <cellStyle name="Normal 10 3 4 2 2" xfId="5591" xr:uid="{4EE56233-C27A-4CA4-9D12-ED79FF3D6E3A}"/>
    <cellStyle name="Normal 10 3 4 2 2 2" xfId="10159" xr:uid="{02ECF148-3C52-420B-8403-4DD9CC0FBBBD}"/>
    <cellStyle name="Normal 10 3 4 2 3" xfId="7867" xr:uid="{68BBBB6F-397E-4386-A3D4-0A8A890BD74B}"/>
    <cellStyle name="Normal 10 3 4 3" xfId="4582" xr:uid="{909C789D-0DBA-48DB-8A75-F5EDC0AFFA1B}"/>
    <cellStyle name="Normal 10 3 4 3 2" xfId="9150" xr:uid="{0088CEDB-E829-4906-A040-F2F2032C0831}"/>
    <cellStyle name="Normal 10 3 4 4" xfId="6858" xr:uid="{27B05536-85CE-4665-A6B3-B04AAF38DEE8}"/>
    <cellStyle name="Normal 10 3 5" xfId="2736" xr:uid="{CC470FA9-9B19-4A28-87A9-2CF7A5708C14}"/>
    <cellStyle name="Normal 10 3 5 2" xfId="5161" xr:uid="{5C4B8A7C-34E2-45B7-97AA-2A9C945044F4}"/>
    <cellStyle name="Normal 10 3 5 2 2" xfId="9729" xr:uid="{1209C615-3DA1-435B-B8D2-F68B569ED2D2}"/>
    <cellStyle name="Normal 10 3 5 3" xfId="7437" xr:uid="{60C5728E-978A-4975-B226-C0A30BB8F84A}"/>
    <cellStyle name="Normal 10 3 6" xfId="4151" xr:uid="{F6E275B0-1068-4739-8D34-310AE9036DCC}"/>
    <cellStyle name="Normal 10 3 6 2" xfId="8720" xr:uid="{3F0E6070-4ECB-434C-9D0B-D138426D27EB}"/>
    <cellStyle name="Normal 10 3 7" xfId="6428" xr:uid="{4B9AC1FD-2DE8-4C5F-A859-D936B823D76F}"/>
    <cellStyle name="Normal 10 3 8" xfId="1509" xr:uid="{CD11F956-68C7-4963-BBD8-A35232DE5FAA}"/>
    <cellStyle name="Normal 10 4" xfId="587" xr:uid="{00000000-0005-0000-0000-000034030000}"/>
    <cellStyle name="Normal 10 4 2" xfId="1798" xr:uid="{D92F45C5-1AD3-4DCD-8543-20E8BC2BAF71}"/>
    <cellStyle name="Normal 10 4 2 2" xfId="2345" xr:uid="{AC954F4C-3CCB-40C5-BD0D-46DF2A3D5414}"/>
    <cellStyle name="Normal 10 4 2 2 2" xfId="3356" xr:uid="{8A9941F5-1CE3-42FC-AB0C-67BBD7555B07}"/>
    <cellStyle name="Normal 10 4 2 2 2 2" xfId="5780" xr:uid="{DBF05992-B74D-4009-9130-6E807C8F3CDB}"/>
    <cellStyle name="Normal 10 4 2 2 2 2 2" xfId="10348" xr:uid="{D16E4889-FC22-42BB-9126-3B533D84B6BF}"/>
    <cellStyle name="Normal 10 4 2 2 2 3" xfId="8056" xr:uid="{780CCA08-CA9F-4AE1-9A55-F315C77872C1}"/>
    <cellStyle name="Normal 10 4 2 2 3" xfId="4771" xr:uid="{3E29B586-EEFC-4FBF-9DA1-4A2483AE069C}"/>
    <cellStyle name="Normal 10 4 2 2 3 2" xfId="9339" xr:uid="{5AFA434E-EC32-48FD-B863-03296EF19C96}"/>
    <cellStyle name="Normal 10 4 2 2 4" xfId="7047" xr:uid="{DE3E6876-5E1E-40F2-86BF-3448EB5072FE}"/>
    <cellStyle name="Normal 10 4 2 3" xfId="2928" xr:uid="{52283575-0D11-47ED-B63B-48F58D6D1C04}"/>
    <cellStyle name="Normal 10 4 2 3 2" xfId="5352" xr:uid="{A447BC65-09AC-4887-82C1-0137E60BD0A8}"/>
    <cellStyle name="Normal 10 4 2 3 2 2" xfId="9920" xr:uid="{C462F303-C43B-4CB2-9E7C-3B0AF44E528F}"/>
    <cellStyle name="Normal 10 4 2 3 3" xfId="7628" xr:uid="{3C632D35-AE08-4454-8B0B-C652F1F39C96}"/>
    <cellStyle name="Normal 10 4 2 4" xfId="4343" xr:uid="{806BDD77-FB07-49F4-9DD2-332C2F67041F}"/>
    <cellStyle name="Normal 10 4 2 4 2" xfId="8911" xr:uid="{9FF15D9E-BA55-4BF7-BBE9-313EEBD800D0}"/>
    <cellStyle name="Normal 10 4 2 5" xfId="6619" xr:uid="{AB8BB5C5-E23C-48CD-B9A0-15DE5B75503A}"/>
    <cellStyle name="Normal 10 4 3" xfId="2156" xr:uid="{0A003626-DFBD-4219-A486-98BD83FB8B2C}"/>
    <cellStyle name="Normal 10 4 3 2" xfId="3169" xr:uid="{35C91ADB-3B91-449A-9674-D8C42A0C9930}"/>
    <cellStyle name="Normal 10 4 3 2 2" xfId="5593" xr:uid="{86C9639E-611D-4A04-BFDE-5B12613BD629}"/>
    <cellStyle name="Normal 10 4 3 2 2 2" xfId="10161" xr:uid="{E98A6714-35AA-464C-B26D-34AFD46CB421}"/>
    <cellStyle name="Normal 10 4 3 2 3" xfId="7869" xr:uid="{27EA1654-FC77-4490-95A6-019B03AAC809}"/>
    <cellStyle name="Normal 10 4 3 3" xfId="4584" xr:uid="{D6E78CF0-CA6B-4AB5-8A74-264105A1FBE9}"/>
    <cellStyle name="Normal 10 4 3 3 2" xfId="9152" xr:uid="{355A7189-FFBC-4A2E-8233-EC192CC8205D}"/>
    <cellStyle name="Normal 10 4 3 4" xfId="6860" xr:uid="{CC32D228-0523-4240-A75B-AEEFC10A55A0}"/>
    <cellStyle name="Normal 10 4 4" xfId="2738" xr:uid="{0F6952FD-27F3-4C12-AFDB-4439DA5DDC46}"/>
    <cellStyle name="Normal 10 4 4 2" xfId="5163" xr:uid="{E0CAECD6-EA83-4295-9F2B-F999FBDB117F}"/>
    <cellStyle name="Normal 10 4 4 2 2" xfId="9731" xr:uid="{D6A21BA6-EF62-4BC9-9D27-25C1F8E20611}"/>
    <cellStyle name="Normal 10 4 4 3" xfId="7439" xr:uid="{5236B021-4FBF-4723-B9FF-6970346B2528}"/>
    <cellStyle name="Normal 10 4 5" xfId="4153" xr:uid="{2325E087-15DA-4208-A004-A8C043A204C2}"/>
    <cellStyle name="Normal 10 4 5 2" xfId="8722" xr:uid="{E7E47108-5C94-42C5-BC75-2F63785950A6}"/>
    <cellStyle name="Normal 10 4 6" xfId="6430" xr:uid="{20689060-6855-4A23-97B2-7D9B523DC3FD}"/>
    <cellStyle name="Normal 10 4 7" xfId="1511" xr:uid="{A1183AEE-F24E-4D02-AE14-032CF8ED094A}"/>
    <cellStyle name="Normal 10 5" xfId="1793" xr:uid="{69630155-F3C1-4828-AFD2-7E42C9003B29}"/>
    <cellStyle name="Normal 10 5 2" xfId="2340" xr:uid="{36194E52-6D83-409D-9DF8-FE82E4E836A2}"/>
    <cellStyle name="Normal 10 5 2 2" xfId="3351" xr:uid="{16124EC0-C062-435E-BF60-A90706393321}"/>
    <cellStyle name="Normal 10 5 2 2 2" xfId="5775" xr:uid="{A9151A02-FFEB-493D-B1BA-A58FE6A77655}"/>
    <cellStyle name="Normal 10 5 2 2 2 2" xfId="10343" xr:uid="{7D81D3FE-6A90-448C-86D3-D88DD684CBB9}"/>
    <cellStyle name="Normal 10 5 2 2 3" xfId="8051" xr:uid="{15EFB90A-3EDF-4613-B80A-0AF4EC5FEF9C}"/>
    <cellStyle name="Normal 10 5 2 3" xfId="4766" xr:uid="{DA97866A-6155-4D92-BB0A-82923E747DD1}"/>
    <cellStyle name="Normal 10 5 2 3 2" xfId="9334" xr:uid="{67B33672-29DB-40EC-BBB5-D93D3170042B}"/>
    <cellStyle name="Normal 10 5 2 4" xfId="7042" xr:uid="{4CE2BB55-CC1D-4D6B-9C4C-9914F8DE9B7D}"/>
    <cellStyle name="Normal 10 5 3" xfId="2923" xr:uid="{D96C4EF1-6940-409C-B5B6-A22A6767B3AF}"/>
    <cellStyle name="Normal 10 5 3 2" xfId="5347" xr:uid="{FD42C156-BF5A-492F-8623-B15AC1CD5E9B}"/>
    <cellStyle name="Normal 10 5 3 2 2" xfId="9915" xr:uid="{A60424BD-74AF-4194-8B2B-E89BDEB2D9BC}"/>
    <cellStyle name="Normal 10 5 3 3" xfId="7623" xr:uid="{D2B0446C-D14E-4336-866B-CBFEDCB3CA3A}"/>
    <cellStyle name="Normal 10 5 4" xfId="4338" xr:uid="{D7FADA69-7926-49BA-8D60-9CC65BDC3861}"/>
    <cellStyle name="Normal 10 5 4 2" xfId="8906" xr:uid="{1E7AA72C-E719-4B04-93F0-C1D7BDED032F}"/>
    <cellStyle name="Normal 10 5 5" xfId="6614" xr:uid="{D899BAEE-192F-4AF3-BFC2-CE0DBFDAE0A5}"/>
    <cellStyle name="Normal 10 6" xfId="2151" xr:uid="{506F987F-DB19-4630-A611-8454D1A4EC4E}"/>
    <cellStyle name="Normal 10 6 2" xfId="3164" xr:uid="{9B973DF1-0D84-40BB-9D39-B7782EECC562}"/>
    <cellStyle name="Normal 10 6 2 2" xfId="5588" xr:uid="{FD97DAD9-643F-4156-B806-D81A44C3E560}"/>
    <cellStyle name="Normal 10 6 2 2 2" xfId="10156" xr:uid="{D4A79B0E-6C1E-42B6-8427-4145FB783087}"/>
    <cellStyle name="Normal 10 6 2 3" xfId="7864" xr:uid="{2CC8EA14-D6CE-4A1F-980E-263A3FBBB11C}"/>
    <cellStyle name="Normal 10 6 3" xfId="4579" xr:uid="{79E2D346-DA07-46BB-8479-16E44355102D}"/>
    <cellStyle name="Normal 10 6 3 2" xfId="9147" xr:uid="{68BDD024-B8DB-49F2-82F3-9365F7A3D74A}"/>
    <cellStyle name="Normal 10 6 4" xfId="6855" xr:uid="{338CB7FA-4E9D-4AF1-93AA-8A2F1827A50D}"/>
    <cellStyle name="Normal 10 7" xfId="2733" xr:uid="{9C902F6A-47DD-4C88-969A-5F36E007067C}"/>
    <cellStyle name="Normal 10 7 2" xfId="5158" xr:uid="{B2C5A68B-1313-4424-B718-CB0753EC1E78}"/>
    <cellStyle name="Normal 10 7 2 2" xfId="9726" xr:uid="{DBF80C10-A2BE-4A9A-8ADF-5FBF0D66AFB1}"/>
    <cellStyle name="Normal 10 7 3" xfId="7434" xr:uid="{0710B9C5-7979-4609-9568-6081A516A0CF}"/>
    <cellStyle name="Normal 10 8" xfId="4148" xr:uid="{F7949C6D-DF4A-49C6-9040-32400BEEDB3F}"/>
    <cellStyle name="Normal 10 8 2" xfId="8717" xr:uid="{3DB8694B-EAE1-40B2-A17F-4D802425E094}"/>
    <cellStyle name="Normal 10 9" xfId="6425" xr:uid="{68FEFD63-9E2F-4602-8A61-C70FD2C35FB0}"/>
    <cellStyle name="Normal 11" xfId="588" xr:uid="{00000000-0005-0000-0000-000035030000}"/>
    <cellStyle name="Normal 11 2" xfId="589" xr:uid="{00000000-0005-0000-0000-000036030000}"/>
    <cellStyle name="Normal 11 3" xfId="6431" xr:uid="{A4F88117-17D8-48A6-8A2C-3EAC33B3D56D}"/>
    <cellStyle name="Normal 11_PYG CemArgos consolidado" xfId="590" xr:uid="{00000000-0005-0000-0000-000037030000}"/>
    <cellStyle name="Normal 12" xfId="591" xr:uid="{00000000-0005-0000-0000-000038030000}"/>
    <cellStyle name="Normal 12 2" xfId="950" xr:uid="{00000000-0005-0000-0000-000039030000}"/>
    <cellStyle name="Normal 13" xfId="592" xr:uid="{00000000-0005-0000-0000-00003A030000}"/>
    <cellStyle name="Normal 14" xfId="593" xr:uid="{00000000-0005-0000-0000-00003B030000}"/>
    <cellStyle name="Normal 14 2" xfId="594" xr:uid="{00000000-0005-0000-0000-00003C030000}"/>
    <cellStyle name="Normal 15" xfId="595" xr:uid="{00000000-0005-0000-0000-00003D030000}"/>
    <cellStyle name="Normal 15 2" xfId="596" xr:uid="{00000000-0005-0000-0000-00003E030000}"/>
    <cellStyle name="Normal 15 2 2" xfId="1800" xr:uid="{2A149B7C-73BF-4CC5-8D64-21A3D0A555EE}"/>
    <cellStyle name="Normal 15 2 2 2" xfId="2347" xr:uid="{FF13E277-D881-4D56-A92A-56513703D07D}"/>
    <cellStyle name="Normal 15 2 2 2 2" xfId="3358" xr:uid="{136CFB6C-965C-4429-9CE8-D963C57F0AF5}"/>
    <cellStyle name="Normal 15 2 2 2 2 2" xfId="5782" xr:uid="{9821445A-043D-48B0-8943-28A7BB4C17CF}"/>
    <cellStyle name="Normal 15 2 2 2 2 2 2" xfId="10350" xr:uid="{CA08B738-2FC4-4859-AEAB-456F368B6EE1}"/>
    <cellStyle name="Normal 15 2 2 2 2 3" xfId="8058" xr:uid="{3AF25311-30D0-4EBB-8E63-59579D18FF92}"/>
    <cellStyle name="Normal 15 2 2 2 3" xfId="4773" xr:uid="{2D8F2733-3416-44D5-B7B5-F6F8A97A021F}"/>
    <cellStyle name="Normal 15 2 2 2 3 2" xfId="9341" xr:uid="{12FA895A-E5DC-477F-BC24-62C8DD41B69C}"/>
    <cellStyle name="Normal 15 2 2 2 4" xfId="7049" xr:uid="{AFD16AC9-0A87-4624-89E4-D764C99A32F3}"/>
    <cellStyle name="Normal 15 2 2 3" xfId="2930" xr:uid="{D9ADCFBF-3F13-439F-B893-FC6E620B3E00}"/>
    <cellStyle name="Normal 15 2 2 3 2" xfId="5354" xr:uid="{87F5BEC2-6797-4F8C-8ABF-78E187AD33BC}"/>
    <cellStyle name="Normal 15 2 2 3 2 2" xfId="9922" xr:uid="{27639CB1-20D3-487C-949B-AF78C1504D17}"/>
    <cellStyle name="Normal 15 2 2 3 3" xfId="7630" xr:uid="{508D2246-6265-4C01-8C90-355172DF461A}"/>
    <cellStyle name="Normal 15 2 2 4" xfId="4345" xr:uid="{21A5B1DF-041D-4D11-A5A1-D8B4371B83FE}"/>
    <cellStyle name="Normal 15 2 2 4 2" xfId="8913" xr:uid="{7C6EBFF1-B6BC-453C-85B2-3E05EE314F67}"/>
    <cellStyle name="Normal 15 2 2 5" xfId="6621" xr:uid="{F7D834D8-03EF-44B7-97B0-A39EDB47F248}"/>
    <cellStyle name="Normal 15 2 3" xfId="2158" xr:uid="{23581859-126F-44C9-99DF-DB33D6B60A8E}"/>
    <cellStyle name="Normal 15 2 3 2" xfId="3171" xr:uid="{F3DEA436-408B-4C46-8197-1CC637296A27}"/>
    <cellStyle name="Normal 15 2 3 2 2" xfId="5595" xr:uid="{8F1AAEF9-DB54-49B0-BC45-46877C059A21}"/>
    <cellStyle name="Normal 15 2 3 2 2 2" xfId="10163" xr:uid="{B23888AA-1563-4579-9F21-31258EE46031}"/>
    <cellStyle name="Normal 15 2 3 2 3" xfId="7871" xr:uid="{6C28B05E-D513-4F84-BDB0-050EE3BD40AE}"/>
    <cellStyle name="Normal 15 2 3 3" xfId="4586" xr:uid="{F3916644-3E87-44FA-A578-5DDC0B93497A}"/>
    <cellStyle name="Normal 15 2 3 3 2" xfId="9154" xr:uid="{E99F411D-3AA1-4EA8-8758-FFCD3E6C312A}"/>
    <cellStyle name="Normal 15 2 3 4" xfId="6862" xr:uid="{E18410FC-40D8-4B90-A2AD-485B02B34A93}"/>
    <cellStyle name="Normal 15 2 4" xfId="2740" xr:uid="{5404785E-F128-4F53-B474-100E56D0819F}"/>
    <cellStyle name="Normal 15 2 4 2" xfId="5165" xr:uid="{99E81876-66A0-477A-99C2-211D49E740A5}"/>
    <cellStyle name="Normal 15 2 4 2 2" xfId="9733" xr:uid="{53AE8088-571B-41E6-B9ED-A74512DF3119}"/>
    <cellStyle name="Normal 15 2 4 3" xfId="7441" xr:uid="{D75DDA6D-C269-47BF-A101-C5C5C2066784}"/>
    <cellStyle name="Normal 15 2 5" xfId="4155" xr:uid="{3C19970A-CA90-4F1E-B239-12709DBAEE53}"/>
    <cellStyle name="Normal 15 2 5 2" xfId="8724" xr:uid="{09423000-24F4-467B-888C-9E8A48F16B42}"/>
    <cellStyle name="Normal 15 2 6" xfId="6433" xr:uid="{6B546BAD-2D32-4BCB-AE24-15BBD6190566}"/>
    <cellStyle name="Normal 15 2 7" xfId="1513" xr:uid="{6D5D5C51-5378-4860-9C8C-636FDCCAB9B6}"/>
    <cellStyle name="Normal 15 3" xfId="1799" xr:uid="{7CA380F6-A7AC-4A50-8E02-13A34C617753}"/>
    <cellStyle name="Normal 15 3 2" xfId="2346" xr:uid="{9045C8B4-F646-4E8A-8C57-B7D773F80D3B}"/>
    <cellStyle name="Normal 15 3 2 2" xfId="3357" xr:uid="{BABE265E-5893-4962-9E84-4841477ECDDF}"/>
    <cellStyle name="Normal 15 3 2 2 2" xfId="5781" xr:uid="{1AFBE5DB-59E8-4AB5-A73E-92264FA0A613}"/>
    <cellStyle name="Normal 15 3 2 2 2 2" xfId="10349" xr:uid="{C42A8936-EC38-4783-9B3B-488DB8442C42}"/>
    <cellStyle name="Normal 15 3 2 2 3" xfId="8057" xr:uid="{6A0135DB-6839-460E-8EB5-A86937763340}"/>
    <cellStyle name="Normal 15 3 2 3" xfId="4772" xr:uid="{9EB6424A-FE45-4ED6-9113-D59B95D2EE02}"/>
    <cellStyle name="Normal 15 3 2 3 2" xfId="9340" xr:uid="{E524F7F1-7586-4116-B6DD-15646B08D213}"/>
    <cellStyle name="Normal 15 3 2 4" xfId="7048" xr:uid="{1DD68BED-30BD-45B0-8D74-0EF028A12142}"/>
    <cellStyle name="Normal 15 3 3" xfId="2929" xr:uid="{DCD23186-B90A-4290-AF13-20E35985D0B5}"/>
    <cellStyle name="Normal 15 3 3 2" xfId="5353" xr:uid="{BF6ECF4E-F565-4159-8AAE-DEABD3414F34}"/>
    <cellStyle name="Normal 15 3 3 2 2" xfId="9921" xr:uid="{1E534335-CBFC-427D-ABA2-4712156921C0}"/>
    <cellStyle name="Normal 15 3 3 3" xfId="7629" xr:uid="{1CE10B5B-4458-431C-BB7E-78466E2F6A8A}"/>
    <cellStyle name="Normal 15 3 4" xfId="4344" xr:uid="{A8C19881-19AB-4C31-AF62-421FF04FE5A5}"/>
    <cellStyle name="Normal 15 3 4 2" xfId="8912" xr:uid="{8F5850DF-FE11-47F4-89B5-FF98CD1A572A}"/>
    <cellStyle name="Normal 15 3 5" xfId="6620" xr:uid="{E05EA914-B372-4DAF-BEDE-9DF6BE66A408}"/>
    <cellStyle name="Normal 15 4" xfId="2157" xr:uid="{E6316A55-767B-4B8D-9A44-83CF1EF3DB2D}"/>
    <cellStyle name="Normal 15 4 2" xfId="3170" xr:uid="{21B779CB-A1BC-4D91-80FA-5DE65A540BB2}"/>
    <cellStyle name="Normal 15 4 2 2" xfId="5594" xr:uid="{C983D1C1-6E22-4489-A5D7-7F9153E4A9D1}"/>
    <cellStyle name="Normal 15 4 2 2 2" xfId="10162" xr:uid="{26CA01A8-58ED-43D0-9AD8-17E5FE9F8566}"/>
    <cellStyle name="Normal 15 4 2 3" xfId="7870" xr:uid="{ABC4CBBD-6162-4079-BCC6-9F039D150A51}"/>
    <cellStyle name="Normal 15 4 3" xfId="4585" xr:uid="{8A2F2C49-AA62-49E6-B528-0C69B1F44F31}"/>
    <cellStyle name="Normal 15 4 3 2" xfId="9153" xr:uid="{8E773ED1-8014-4650-9D41-136750E76035}"/>
    <cellStyle name="Normal 15 4 4" xfId="6861" xr:uid="{C9146CD9-13F0-4C0C-9674-3AAC9579B856}"/>
    <cellStyle name="Normal 15 5" xfId="2739" xr:uid="{A5B874C9-820C-46B7-A662-04861B6C6D31}"/>
    <cellStyle name="Normal 15 5 2" xfId="5164" xr:uid="{401E6665-8C24-4625-A93D-5533B2822666}"/>
    <cellStyle name="Normal 15 5 2 2" xfId="9732" xr:uid="{D0E1C684-FBBB-49E5-9AC0-A77106517A99}"/>
    <cellStyle name="Normal 15 5 3" xfId="7440" xr:uid="{4D916825-2777-40D2-825A-C3F237C57A85}"/>
    <cellStyle name="Normal 15 6" xfId="4154" xr:uid="{52E0272A-C618-4F0B-BC6C-B9B0CFB3DAC9}"/>
    <cellStyle name="Normal 15 6 2" xfId="8723" xr:uid="{87774DF1-E26F-4220-B20E-07F12FB2C118}"/>
    <cellStyle name="Normal 15 7" xfId="6432" xr:uid="{D6B9EDDB-B39C-43D7-A37B-4FD3EBB9AE86}"/>
    <cellStyle name="Normal 15 8" xfId="1512" xr:uid="{2F9B6EB4-9655-4133-9A66-7411B8095F6B}"/>
    <cellStyle name="Normal 16" xfId="597" xr:uid="{00000000-0005-0000-0000-00003F030000}"/>
    <cellStyle name="Normal 16 2" xfId="598" xr:uid="{00000000-0005-0000-0000-000040030000}"/>
    <cellStyle name="Normal 16 2 2" xfId="1802" xr:uid="{5FA08EBB-0DE3-4064-83DD-33CBBFBC2EF8}"/>
    <cellStyle name="Normal 16 2 2 2" xfId="2349" xr:uid="{AFB834D7-683E-4285-9510-2E2DADF962FE}"/>
    <cellStyle name="Normal 16 2 2 2 2" xfId="3360" xr:uid="{3DEA4DDB-4D9B-4070-8E6B-AD2218B510CC}"/>
    <cellStyle name="Normal 16 2 2 2 2 2" xfId="5784" xr:uid="{CDD99EB7-23E6-40CC-8D61-0FAC482D62C0}"/>
    <cellStyle name="Normal 16 2 2 2 2 2 2" xfId="10352" xr:uid="{85979615-991F-448A-B863-0E61C0C74F4A}"/>
    <cellStyle name="Normal 16 2 2 2 2 3" xfId="8060" xr:uid="{278AA526-D5CE-4031-8910-7F6D1D5CE668}"/>
    <cellStyle name="Normal 16 2 2 2 3" xfId="4775" xr:uid="{189F94AA-146B-420D-85EE-63A900CA7402}"/>
    <cellStyle name="Normal 16 2 2 2 3 2" xfId="9343" xr:uid="{8E006E88-B985-4CDC-86CD-3E65D59DBAA6}"/>
    <cellStyle name="Normal 16 2 2 2 4" xfId="7051" xr:uid="{879E49B7-F643-4E31-B3D6-E27679E52A23}"/>
    <cellStyle name="Normal 16 2 2 3" xfId="2932" xr:uid="{D972F074-DFC8-4265-B584-AC27BB663DEB}"/>
    <cellStyle name="Normal 16 2 2 3 2" xfId="5356" xr:uid="{AA0E5E0E-A412-4975-A2FA-92F05E043059}"/>
    <cellStyle name="Normal 16 2 2 3 2 2" xfId="9924" xr:uid="{93673AF3-CFF9-47F3-9BA7-923B08327301}"/>
    <cellStyle name="Normal 16 2 2 3 3" xfId="7632" xr:uid="{CB2DDA9A-5226-4C68-893D-5C866EEFF477}"/>
    <cellStyle name="Normal 16 2 2 4" xfId="4347" xr:uid="{5E4FC522-290A-4970-9BDB-A5D99AAB9D2E}"/>
    <cellStyle name="Normal 16 2 2 4 2" xfId="8915" xr:uid="{124ABB75-FBED-4E38-9A98-25280B44AE9B}"/>
    <cellStyle name="Normal 16 2 2 5" xfId="6623" xr:uid="{47CBCC98-9BEC-4736-B9F9-9D9121A35681}"/>
    <cellStyle name="Normal 16 2 3" xfId="2160" xr:uid="{7E28386C-26BE-451C-B669-1D79D7B2F7A7}"/>
    <cellStyle name="Normal 16 2 3 2" xfId="3173" xr:uid="{F68359A5-8818-4271-9CF6-EA8DD2E27F72}"/>
    <cellStyle name="Normal 16 2 3 2 2" xfId="5597" xr:uid="{0660CDC0-7F8E-4333-AFBB-4400FAA1D35C}"/>
    <cellStyle name="Normal 16 2 3 2 2 2" xfId="10165" xr:uid="{35E7FCDE-2BAC-41CD-A591-4AA37E068272}"/>
    <cellStyle name="Normal 16 2 3 2 3" xfId="7873" xr:uid="{7C7D824C-FF07-4E5A-8CB5-8D86ED8A148A}"/>
    <cellStyle name="Normal 16 2 3 3" xfId="4588" xr:uid="{8CD0F96D-A009-42CA-8E9D-34A8321B6AA0}"/>
    <cellStyle name="Normal 16 2 3 3 2" xfId="9156" xr:uid="{8567FACD-EE9C-41B6-B0E0-20F60621908B}"/>
    <cellStyle name="Normal 16 2 3 4" xfId="6864" xr:uid="{C3B63BFD-33E3-4EFE-A7C6-F05519F8A591}"/>
    <cellStyle name="Normal 16 2 4" xfId="2742" xr:uid="{1F835C2F-23E8-40A2-8790-6D52AA729AD3}"/>
    <cellStyle name="Normal 16 2 4 2" xfId="5167" xr:uid="{65413731-8FBF-4BDD-A7E5-8094C81FA870}"/>
    <cellStyle name="Normal 16 2 4 2 2" xfId="9735" xr:uid="{CAF166C3-7862-4B8C-A74C-2695C8BF9C53}"/>
    <cellStyle name="Normal 16 2 4 3" xfId="7443" xr:uid="{A8CF4B7A-54F5-404C-8BF7-4AAB40F23377}"/>
    <cellStyle name="Normal 16 2 5" xfId="4157" xr:uid="{3EA7D122-94CA-4A38-9A04-60F656ABB5AA}"/>
    <cellStyle name="Normal 16 2 5 2" xfId="8726" xr:uid="{FDF989CF-7799-4E8C-A4D3-1BBBE6525A9C}"/>
    <cellStyle name="Normal 16 2 6" xfId="6435" xr:uid="{6F3B1E42-C596-4019-952E-4754C0D68AA0}"/>
    <cellStyle name="Normal 16 2 7" xfId="1515" xr:uid="{B19A2660-23D4-4D0E-8AB7-539E4B398692}"/>
    <cellStyle name="Normal 16 3" xfId="1801" xr:uid="{52D2BBD8-3426-4256-85F6-A5315732988C}"/>
    <cellStyle name="Normal 16 3 2" xfId="2348" xr:uid="{8378D472-BD43-412A-87D9-4F3728340C7B}"/>
    <cellStyle name="Normal 16 3 2 2" xfId="3359" xr:uid="{9B0A89EB-9A2A-4CC1-BC24-3DCCF8F15DDE}"/>
    <cellStyle name="Normal 16 3 2 2 2" xfId="5783" xr:uid="{A8C34F5A-6407-4812-8C56-255F0137B374}"/>
    <cellStyle name="Normal 16 3 2 2 2 2" xfId="10351" xr:uid="{6501B32E-D5BE-4404-9E36-B4F91BBCCF68}"/>
    <cellStyle name="Normal 16 3 2 2 3" xfId="8059" xr:uid="{975B79E6-7560-41B2-8727-926E5CD48FCC}"/>
    <cellStyle name="Normal 16 3 2 3" xfId="4774" xr:uid="{EE61FB38-8FCD-4993-AE11-37DA062D8EC9}"/>
    <cellStyle name="Normal 16 3 2 3 2" xfId="9342" xr:uid="{4409A655-013A-4AD5-B6A5-B9C3AA2DC2EB}"/>
    <cellStyle name="Normal 16 3 2 4" xfId="7050" xr:uid="{4A1700EB-A00B-43C0-B075-B66BE68C9F47}"/>
    <cellStyle name="Normal 16 3 3" xfId="2931" xr:uid="{4F43BB80-A38F-4260-9DE9-9F0A18104964}"/>
    <cellStyle name="Normal 16 3 3 2" xfId="5355" xr:uid="{72525415-18C8-4F22-BA3D-F5FA38C2C659}"/>
    <cellStyle name="Normal 16 3 3 2 2" xfId="9923" xr:uid="{92A7688F-D97D-47CD-9A2C-15D9C58AA919}"/>
    <cellStyle name="Normal 16 3 3 3" xfId="7631" xr:uid="{A7AFE9B0-8B29-4B92-BFBC-10A4BAB69E4C}"/>
    <cellStyle name="Normal 16 3 4" xfId="4346" xr:uid="{A5B73F81-44B7-4C8A-8EEF-423CEED821E3}"/>
    <cellStyle name="Normal 16 3 4 2" xfId="8914" xr:uid="{8549C2D3-EB83-49C8-9E1B-9EDF78C8DFA3}"/>
    <cellStyle name="Normal 16 3 5" xfId="6622" xr:uid="{51F10DE4-BE28-40EE-95FE-44E19F647395}"/>
    <cellStyle name="Normal 16 4" xfId="2159" xr:uid="{66788B17-D219-425A-BD08-AC6733E40F29}"/>
    <cellStyle name="Normal 16 4 2" xfId="3172" xr:uid="{EB0B8947-6486-49A5-B9D4-A536F6BC6907}"/>
    <cellStyle name="Normal 16 4 2 2" xfId="5596" xr:uid="{337221B9-44F6-4DFF-887C-A8F8BBCA7DDE}"/>
    <cellStyle name="Normal 16 4 2 2 2" xfId="10164" xr:uid="{17109B7E-FE31-486B-A43C-3FB0FC898547}"/>
    <cellStyle name="Normal 16 4 2 3" xfId="7872" xr:uid="{AAF69338-8A0F-4123-89B6-67BA4C0B94BA}"/>
    <cellStyle name="Normal 16 4 3" xfId="4587" xr:uid="{698E35E8-2229-44F8-8F43-33F93C38A1AC}"/>
    <cellStyle name="Normal 16 4 3 2" xfId="9155" xr:uid="{EEFD31C1-ABB2-4DFC-8300-8150D5483383}"/>
    <cellStyle name="Normal 16 4 4" xfId="6863" xr:uid="{6000098F-ED35-4467-9811-C6517F96B6F4}"/>
    <cellStyle name="Normal 16 5" xfId="2741" xr:uid="{A5AE67A1-C6C0-47A9-A8F8-3897496D87FD}"/>
    <cellStyle name="Normal 16 5 2" xfId="5166" xr:uid="{9829E816-5244-4359-9AA0-C19FCD5E8F1E}"/>
    <cellStyle name="Normal 16 5 2 2" xfId="9734" xr:uid="{23157C90-EFE0-465F-983B-E595B60E1624}"/>
    <cellStyle name="Normal 16 5 3" xfId="7442" xr:uid="{3A0AC592-C0CC-4D74-B8CB-CA1AD85D7520}"/>
    <cellStyle name="Normal 16 6" xfId="4156" xr:uid="{4DD7CDF1-DDE3-4DAC-AEE1-978B8A87789D}"/>
    <cellStyle name="Normal 16 6 2" xfId="8725" xr:uid="{2B8E7B73-0310-482F-87D0-245F88505469}"/>
    <cellStyle name="Normal 16 7" xfId="6434" xr:uid="{8A1771EB-E63D-47FD-A0A2-7B91669E2D6F}"/>
    <cellStyle name="Normal 16 8" xfId="1514" xr:uid="{E20F4F78-902A-4B68-9C38-E440C9C0C4E1}"/>
    <cellStyle name="Normal 17" xfId="599" xr:uid="{00000000-0005-0000-0000-000041030000}"/>
    <cellStyle name="Normal 18" xfId="600" xr:uid="{00000000-0005-0000-0000-000042030000}"/>
    <cellStyle name="Normal 18 2" xfId="601" xr:uid="{00000000-0005-0000-0000-000043030000}"/>
    <cellStyle name="Normal 18 2 2" xfId="1804" xr:uid="{BE807A66-3FCF-4874-92DF-43731CFE70F8}"/>
    <cellStyle name="Normal 18 2 2 2" xfId="2351" xr:uid="{110C6093-66EB-447E-A62F-CBA0B244F9E5}"/>
    <cellStyle name="Normal 18 2 2 2 2" xfId="3362" xr:uid="{8DD39949-42B6-4650-A8F9-0A76173D049F}"/>
    <cellStyle name="Normal 18 2 2 2 2 2" xfId="5786" xr:uid="{5C696CF9-62FF-4AA9-ADCC-7BD760CAAC71}"/>
    <cellStyle name="Normal 18 2 2 2 2 2 2" xfId="10354" xr:uid="{AC76F645-BEFB-4712-A647-DF54D471CA8D}"/>
    <cellStyle name="Normal 18 2 2 2 2 3" xfId="8062" xr:uid="{21943A01-5D79-47A6-B879-66BBA91CAEA4}"/>
    <cellStyle name="Normal 18 2 2 2 3" xfId="4777" xr:uid="{2ACA1C32-5AB7-4051-A693-D404C41347D6}"/>
    <cellStyle name="Normal 18 2 2 2 3 2" xfId="9345" xr:uid="{5E3AB0CC-C3A2-4F86-966B-6EFE047510BF}"/>
    <cellStyle name="Normal 18 2 2 2 4" xfId="7053" xr:uid="{EE2E9B97-16F2-435E-BC09-4B42E56AE5EB}"/>
    <cellStyle name="Normal 18 2 2 3" xfId="2934" xr:uid="{9F7D6616-1DA4-42F7-B08D-4B3BF08DDFBD}"/>
    <cellStyle name="Normal 18 2 2 3 2" xfId="5358" xr:uid="{DB4FB049-28C6-4691-A917-683FBF2319D6}"/>
    <cellStyle name="Normal 18 2 2 3 2 2" xfId="9926" xr:uid="{E5D633A0-E7AE-4CA5-8724-ED94B8DFBCF7}"/>
    <cellStyle name="Normal 18 2 2 3 3" xfId="7634" xr:uid="{DD230607-E018-42AF-8996-029DE736E1C8}"/>
    <cellStyle name="Normal 18 2 2 4" xfId="4349" xr:uid="{603ECBE0-A4B6-49DA-8545-FFCD1121AF3D}"/>
    <cellStyle name="Normal 18 2 2 4 2" xfId="8917" xr:uid="{D8EA7DD8-E171-4C90-91C1-DCDB447FDF46}"/>
    <cellStyle name="Normal 18 2 2 5" xfId="6625" xr:uid="{D13AEE03-41A1-41C1-A915-17EAA60786D4}"/>
    <cellStyle name="Normal 18 2 3" xfId="2162" xr:uid="{1B954DED-91CB-4424-9B63-1E9E21143C47}"/>
    <cellStyle name="Normal 18 2 3 2" xfId="3175" xr:uid="{84DBCFFC-6AE4-41B4-B925-04A473E6B88A}"/>
    <cellStyle name="Normal 18 2 3 2 2" xfId="5599" xr:uid="{ECA5C72C-BC16-49A4-BAB0-AE5A9AC50BC8}"/>
    <cellStyle name="Normal 18 2 3 2 2 2" xfId="10167" xr:uid="{3E54C2AC-A720-41C7-97FB-22DA604FA151}"/>
    <cellStyle name="Normal 18 2 3 2 3" xfId="7875" xr:uid="{82892C23-A8C4-47E3-AABC-E2C7703CCA37}"/>
    <cellStyle name="Normal 18 2 3 3" xfId="4590" xr:uid="{B7879D65-29E5-404E-BD8A-DC1E2C70C93D}"/>
    <cellStyle name="Normal 18 2 3 3 2" xfId="9158" xr:uid="{B0670E13-AF35-4F59-8C7D-2A5462D8335D}"/>
    <cellStyle name="Normal 18 2 3 4" xfId="6866" xr:uid="{5276E95F-3B18-4A00-9007-75EBFB885052}"/>
    <cellStyle name="Normal 18 2 4" xfId="2744" xr:uid="{F767F59A-65A7-479C-B48E-CA98214F86B3}"/>
    <cellStyle name="Normal 18 2 4 2" xfId="5169" xr:uid="{AE8B09B8-6AA6-45FA-9D62-DE3737E4C0F6}"/>
    <cellStyle name="Normal 18 2 4 2 2" xfId="9737" xr:uid="{BBC2784F-4FF7-41DD-832E-680FC0643413}"/>
    <cellStyle name="Normal 18 2 4 3" xfId="7445" xr:uid="{283D0A68-7143-45EE-A704-F4A60198A479}"/>
    <cellStyle name="Normal 18 2 5" xfId="4159" xr:uid="{4D5F3DD5-D0C4-4081-87D4-84368BAFAF9D}"/>
    <cellStyle name="Normal 18 2 5 2" xfId="8728" xr:uid="{96DBAB5E-61F0-4346-A01C-C6FF137485F8}"/>
    <cellStyle name="Normal 18 2 6" xfId="6437" xr:uid="{7D6B5066-1C77-40FC-90A2-24009DA8046A}"/>
    <cellStyle name="Normal 18 2 7" xfId="1517" xr:uid="{507972F0-40F9-4A6E-BDE1-895484576A71}"/>
    <cellStyle name="Normal 18 3" xfId="1803" xr:uid="{D3F57E21-6A45-41FB-A0F5-AEA771FE3131}"/>
    <cellStyle name="Normal 18 3 2" xfId="2350" xr:uid="{5404590E-6F14-43B7-9E18-15E805087F76}"/>
    <cellStyle name="Normal 18 3 2 2" xfId="3361" xr:uid="{FD26E143-FD60-4450-84C8-64A3EE590345}"/>
    <cellStyle name="Normal 18 3 2 2 2" xfId="5785" xr:uid="{47A80CB1-1F69-40B9-AF3E-52A8F7296FC5}"/>
    <cellStyle name="Normal 18 3 2 2 2 2" xfId="10353" xr:uid="{7352D7B8-C82B-4764-ABF5-D988759AA2DC}"/>
    <cellStyle name="Normal 18 3 2 2 3" xfId="8061" xr:uid="{A2507917-B51E-4422-9C2C-808F828558D6}"/>
    <cellStyle name="Normal 18 3 2 3" xfId="4776" xr:uid="{422714BD-45C9-4D4E-8D1B-3EBD942B7928}"/>
    <cellStyle name="Normal 18 3 2 3 2" xfId="9344" xr:uid="{17599BE0-4BDB-4C68-B1CD-490CEAE1F451}"/>
    <cellStyle name="Normal 18 3 2 4" xfId="7052" xr:uid="{9FD207B3-4777-4DA6-BB74-76432A3A1A48}"/>
    <cellStyle name="Normal 18 3 3" xfId="2933" xr:uid="{5667D9C0-FA16-42E6-8A5B-04CB45A4781D}"/>
    <cellStyle name="Normal 18 3 3 2" xfId="5357" xr:uid="{364428AC-868A-4DD6-B212-F27985925FC7}"/>
    <cellStyle name="Normal 18 3 3 2 2" xfId="9925" xr:uid="{514CB659-4D7C-4410-89A4-AC6122DCCF30}"/>
    <cellStyle name="Normal 18 3 3 3" xfId="7633" xr:uid="{BD5CD783-C89A-40DB-809E-7E7CBC4E6413}"/>
    <cellStyle name="Normal 18 3 4" xfId="4348" xr:uid="{56354251-1B11-4844-82EE-65F3639832B7}"/>
    <cellStyle name="Normal 18 3 4 2" xfId="8916" xr:uid="{490CBDE4-FDAD-4230-BDD5-FBF697FDE5BC}"/>
    <cellStyle name="Normal 18 3 5" xfId="6624" xr:uid="{AE92A2A0-B9AD-47B6-905D-1E18A0269D90}"/>
    <cellStyle name="Normal 18 4" xfId="2161" xr:uid="{04C95EB9-61BF-4FCE-95AD-400D6486E816}"/>
    <cellStyle name="Normal 18 4 2" xfId="3174" xr:uid="{B6045769-568F-42DC-BD21-A085DDAD5CF1}"/>
    <cellStyle name="Normal 18 4 2 2" xfId="5598" xr:uid="{69FBAA60-FB1B-44B1-A6A6-A37C5D0BE70C}"/>
    <cellStyle name="Normal 18 4 2 2 2" xfId="10166" xr:uid="{5098D1C5-84DE-4CA9-A39D-6E099B5BB431}"/>
    <cellStyle name="Normal 18 4 2 3" xfId="7874" xr:uid="{740EC810-90BB-4E87-8E9B-F044D3E715DA}"/>
    <cellStyle name="Normal 18 4 3" xfId="4589" xr:uid="{86E48FD2-F8E2-4D26-A697-8182A6830D21}"/>
    <cellStyle name="Normal 18 4 3 2" xfId="9157" xr:uid="{8326F89C-0A4E-406B-969D-7DCF92924055}"/>
    <cellStyle name="Normal 18 4 4" xfId="6865" xr:uid="{B7BA8F69-6423-4024-B37A-3ABCC9BF46C9}"/>
    <cellStyle name="Normal 18 5" xfId="2743" xr:uid="{B4DEAF05-2E38-4399-9F75-88FA3284E145}"/>
    <cellStyle name="Normal 18 5 2" xfId="5168" xr:uid="{0303D899-ACEC-4352-B6BB-41EFACAB9E87}"/>
    <cellStyle name="Normal 18 5 2 2" xfId="9736" xr:uid="{2E5562BA-AB24-43FB-A0B5-E9957776FA1C}"/>
    <cellStyle name="Normal 18 5 3" xfId="7444" xr:uid="{FAA646FA-CA84-45A6-BBBA-237799242C3A}"/>
    <cellStyle name="Normal 18 6" xfId="4158" xr:uid="{754FD560-5AD4-4729-B202-58EC762E2AEB}"/>
    <cellStyle name="Normal 18 6 2" xfId="8727" xr:uid="{1418D7A3-7346-44CC-9FC1-5416FD833282}"/>
    <cellStyle name="Normal 18 7" xfId="6436" xr:uid="{9A4444FC-7056-421B-893C-425B80AF9071}"/>
    <cellStyle name="Normal 18 8" xfId="1516" xr:uid="{686DA35E-B7FD-448C-A085-8AA84178768A}"/>
    <cellStyle name="Normal 19" xfId="915" xr:uid="{00000000-0005-0000-0000-000044030000}"/>
    <cellStyle name="Normal 19 2" xfId="1870" xr:uid="{3BD92603-4575-4A9F-8EAE-694FF3405BE5}"/>
    <cellStyle name="Normal 19 2 2" xfId="2414" xr:uid="{CC8D70ED-E43F-4568-90BC-49C067AA57D3}"/>
    <cellStyle name="Normal 19 2 2 2" xfId="3425" xr:uid="{9EFDB4D1-5F70-45EC-9D1E-F1EEAD93171C}"/>
    <cellStyle name="Normal 19 2 2 2 2" xfId="5849" xr:uid="{F9CA290E-2786-4FF7-80E7-C9D5D6F63727}"/>
    <cellStyle name="Normal 19 2 2 2 2 2" xfId="10417" xr:uid="{9A341A46-6FDD-4E10-800F-08316DCF198D}"/>
    <cellStyle name="Normal 19 2 2 2 3" xfId="8125" xr:uid="{200F066A-FE71-41AB-902B-FB37DBE6174A}"/>
    <cellStyle name="Normal 19 2 2 3" xfId="4840" xr:uid="{4ACB0BF4-B768-414B-B3F7-93DF04EEA7BB}"/>
    <cellStyle name="Normal 19 2 2 3 2" xfId="9408" xr:uid="{32ED1FD5-8AB6-4F65-B9EB-13546AED8F18}"/>
    <cellStyle name="Normal 19 2 2 4" xfId="7116" xr:uid="{12F71409-153D-405E-B8DE-679E7ED0D6B3}"/>
    <cellStyle name="Normal 19 2 3" xfId="2997" xr:uid="{61B52F29-3B77-469B-A148-0A1BEB440C6C}"/>
    <cellStyle name="Normal 19 2 3 2" xfId="5421" xr:uid="{BA02E59C-9958-49B3-8AE9-4BA8A8572049}"/>
    <cellStyle name="Normal 19 2 3 2 2" xfId="9989" xr:uid="{72F5676E-C938-4D5B-9C90-B39FA23BC7CC}"/>
    <cellStyle name="Normal 19 2 3 3" xfId="7697" xr:uid="{2C5E2B00-BD60-4F70-ADCD-74A79AEB021E}"/>
    <cellStyle name="Normal 19 2 4" xfId="4412" xr:uid="{B9DA47A4-3C98-45B7-AD2D-6CCF98AFD806}"/>
    <cellStyle name="Normal 19 2 4 2" xfId="8980" xr:uid="{EF4CE077-283F-46C1-852C-959AAC67330B}"/>
    <cellStyle name="Normal 19 2 5" xfId="6688" xr:uid="{E00E50CA-9581-48A2-9F11-0D2CA0457E76}"/>
    <cellStyle name="Normal 19 3" xfId="2225" xr:uid="{96964A97-FC90-425A-997C-CE5F8C98D6FE}"/>
    <cellStyle name="Normal 19 3 2" xfId="3238" xr:uid="{D9B397F3-CD8E-4B9E-87CD-F773CCB6E245}"/>
    <cellStyle name="Normal 19 3 2 2" xfId="5662" xr:uid="{B2029A59-12EA-44DA-96BD-03AC3C701BB9}"/>
    <cellStyle name="Normal 19 3 2 2 2" xfId="10230" xr:uid="{B3715A33-1053-4545-B84A-1D05DD9A9B04}"/>
    <cellStyle name="Normal 19 3 2 3" xfId="7938" xr:uid="{46DB5941-CD74-4B6E-96DF-CE721CA49468}"/>
    <cellStyle name="Normal 19 3 3" xfId="4653" xr:uid="{63330446-C58B-4A8C-8E6A-82D6B72BF194}"/>
    <cellStyle name="Normal 19 3 3 2" xfId="9221" xr:uid="{F8729EE6-9266-4DDE-BAA4-01F2C9D65147}"/>
    <cellStyle name="Normal 19 3 4" xfId="6929" xr:uid="{3F126054-3669-4538-A071-44D92E9E20CE}"/>
    <cellStyle name="Normal 19 4" xfId="2809" xr:uid="{517B37A9-0E17-4393-9373-702796FDEF2C}"/>
    <cellStyle name="Normal 19 4 2" xfId="5234" xr:uid="{8F92E4BC-4575-43E0-8000-15C70DF8F5B0}"/>
    <cellStyle name="Normal 19 4 2 2" xfId="9802" xr:uid="{A6FC1CC3-C7FE-4194-8656-E3C988AF2556}"/>
    <cellStyle name="Normal 19 4 3" xfId="7510" xr:uid="{BD527B52-4042-4E2F-9136-85CFFC9FA153}"/>
    <cellStyle name="Normal 19 5" xfId="4223" xr:uid="{22908787-AFFC-4030-88A5-552E8A082562}"/>
    <cellStyle name="Normal 19 5 2" xfId="8791" xr:uid="{7FF4F38B-46E1-4226-A82F-DF61F4BEF4E4}"/>
    <cellStyle name="Normal 19 6" xfId="6500" xr:uid="{F067E0E6-B090-4F61-977B-1795084E19A5}"/>
    <cellStyle name="Normal 19 7" xfId="1580" xr:uid="{78FC27A3-9D4B-4201-A3D5-83C9B751E668}"/>
    <cellStyle name="Normal 2" xfId="602" xr:uid="{00000000-0005-0000-0000-000045030000}"/>
    <cellStyle name="Normal-- 2" xfId="603" xr:uid="{00000000-0005-0000-0000-000046030000}"/>
    <cellStyle name="Normal 2 2" xfId="604" xr:uid="{00000000-0005-0000-0000-000047030000}"/>
    <cellStyle name="Normal 2 2 13" xfId="966" xr:uid="{00000000-0005-0000-0000-000048030000}"/>
    <cellStyle name="Normal 2 2 13 10" xfId="1110" xr:uid="{00000000-0005-0000-0000-000049030000}"/>
    <cellStyle name="Normal 2 2 13 11" xfId="1116" xr:uid="{00000000-0005-0000-0000-00004A030000}"/>
    <cellStyle name="Normal 2 2 13 12" xfId="1121" xr:uid="{00000000-0005-0000-0000-00004B030000}"/>
    <cellStyle name="Normal 2 2 13 13" xfId="1124" xr:uid="{00000000-0005-0000-0000-00004C030000}"/>
    <cellStyle name="Normal 2 2 13 14" xfId="1128" xr:uid="{00000000-0005-0000-0000-00004D030000}"/>
    <cellStyle name="Normal 2 2 13 15" xfId="1145" xr:uid="{00000000-0005-0000-0000-00004E030000}"/>
    <cellStyle name="Normal 2 2 13 16" xfId="1163" xr:uid="{00000000-0005-0000-0000-00004F030000}"/>
    <cellStyle name="Normal 2 2 13 17" xfId="1178" xr:uid="{00000000-0005-0000-0000-000050030000}"/>
    <cellStyle name="Normal 2 2 13 18" xfId="1192" xr:uid="{00000000-0005-0000-0000-000051030000}"/>
    <cellStyle name="Normal 2 2 13 19" xfId="1197" xr:uid="{00000000-0005-0000-0000-000052030000}"/>
    <cellStyle name="Normal 2 2 13 2" xfId="977" xr:uid="{00000000-0005-0000-0000-000053030000}"/>
    <cellStyle name="Normal 2 2 13 20" xfId="1213" xr:uid="{00000000-0005-0000-0000-000054030000}"/>
    <cellStyle name="Normal 2 2 13 21" xfId="1226" xr:uid="{00000000-0005-0000-0000-000055030000}"/>
    <cellStyle name="Normal 2 2 13 22" xfId="1249" xr:uid="{00000000-0005-0000-0000-000056030000}"/>
    <cellStyle name="Normal 2 2 13 23" xfId="1276" xr:uid="{A9B1C613-1869-4149-A9F0-AC942AB8B34B}"/>
    <cellStyle name="Normal 2 2 13 24" xfId="1284" xr:uid="{9E916D69-03C3-4E83-88A3-05E2C01F765D}"/>
    <cellStyle name="Normal 2 2 13 25" xfId="1297" xr:uid="{ABB61512-5F1D-43A5-A3F8-A4A809068658}"/>
    <cellStyle name="Normal 2 2 13 26" xfId="1305" xr:uid="{7EDB86A7-DA95-4841-B07A-265CCFE963C4}"/>
    <cellStyle name="Normal 2 2 13 27" xfId="1325" xr:uid="{DCA0E239-5A54-4D9A-BE5D-911858C820E3}"/>
    <cellStyle name="Normal 2 2 13 3" xfId="998" xr:uid="{00000000-0005-0000-0000-000057030000}"/>
    <cellStyle name="Normal 2 2 13 4" xfId="1015" xr:uid="{00000000-0005-0000-0000-000058030000}"/>
    <cellStyle name="Normal 2 2 13 5" xfId="1025" xr:uid="{00000000-0005-0000-0000-000059030000}"/>
    <cellStyle name="Normal 2 2 13 6" xfId="1033" xr:uid="{00000000-0005-0000-0000-00005A030000}"/>
    <cellStyle name="Normal 2 2 13 7" xfId="1050" xr:uid="{00000000-0005-0000-0000-00005B030000}"/>
    <cellStyle name="Normal 2 2 13 8" xfId="1064" xr:uid="{00000000-0005-0000-0000-00005C030000}"/>
    <cellStyle name="Normal 2 2 13 9" xfId="1090" xr:uid="{00000000-0005-0000-0000-00005D030000}"/>
    <cellStyle name="Normal 2 2 2" xfId="605" xr:uid="{00000000-0005-0000-0000-00005E030000}"/>
    <cellStyle name="Normal 2 2 3" xfId="1088" xr:uid="{00000000-0005-0000-0000-00005F030000}"/>
    <cellStyle name="Normal 2 3" xfId="963" xr:uid="{00000000-0005-0000-0000-000060030000}"/>
    <cellStyle name="Normal 2 4" xfId="973" xr:uid="{00000000-0005-0000-0000-000061030000}"/>
    <cellStyle name="Normal 2 5" xfId="997" xr:uid="{00000000-0005-0000-0000-000062030000}"/>
    <cellStyle name="Normal 2 6" xfId="1008" xr:uid="{00000000-0005-0000-0000-000063030000}"/>
    <cellStyle name="Normal 2 7" xfId="1011" xr:uid="{00000000-0005-0000-0000-000064030000}"/>
    <cellStyle name="Normal 2 8" xfId="1048" xr:uid="{00000000-0005-0000-0000-000065030000}"/>
    <cellStyle name="Normal 2 9" xfId="1062" xr:uid="{00000000-0005-0000-0000-000066030000}"/>
    <cellStyle name="Normal 2_CemArgos estados financieros consolidados oct.2010" xfId="606" xr:uid="{00000000-0005-0000-0000-000067030000}"/>
    <cellStyle name="Normal 20" xfId="918" xr:uid="{00000000-0005-0000-0000-000068030000}"/>
    <cellStyle name="Normal 20 2" xfId="1873" xr:uid="{4F2634DF-8B70-4C74-95B3-3A08CD626CE5}"/>
    <cellStyle name="Normal 20 2 2" xfId="2417" xr:uid="{2AFDA7DB-DE09-4707-BFC8-5ECE877BE9F2}"/>
    <cellStyle name="Normal 20 2 2 2" xfId="3428" xr:uid="{E5C60C58-94D3-4FB6-A0F0-7E29F111194A}"/>
    <cellStyle name="Normal 20 2 2 2 2" xfId="5852" xr:uid="{B7D22C06-7E8B-4947-913C-D8F8425629F4}"/>
    <cellStyle name="Normal 20 2 2 2 2 2" xfId="10420" xr:uid="{E1D4110F-0819-4170-8886-26676BCF7F9F}"/>
    <cellStyle name="Normal 20 2 2 2 3" xfId="8128" xr:uid="{223F5638-5ACB-4229-B4A1-2E8862D360DF}"/>
    <cellStyle name="Normal 20 2 2 3" xfId="4843" xr:uid="{6C5C6D5C-BA89-4F64-8AC8-9B2ED9026C70}"/>
    <cellStyle name="Normal 20 2 2 3 2" xfId="9411" xr:uid="{E788CFAE-3EB2-4452-A06C-9E9B662EFCC6}"/>
    <cellStyle name="Normal 20 2 2 4" xfId="7119" xr:uid="{23F756A6-990B-4153-A20D-297933A3605F}"/>
    <cellStyle name="Normal 20 2 3" xfId="3000" xr:uid="{73C032B8-1151-421A-817E-73BEDE180CCA}"/>
    <cellStyle name="Normal 20 2 3 2" xfId="5424" xr:uid="{A1733729-418D-49E6-8C97-6D9E0C956626}"/>
    <cellStyle name="Normal 20 2 3 2 2" xfId="9992" xr:uid="{43FC0D44-9E6E-4737-8BD8-E46C909B6CED}"/>
    <cellStyle name="Normal 20 2 3 3" xfId="7700" xr:uid="{C26E8D18-84A0-48E5-A0BF-C42D638A17AE}"/>
    <cellStyle name="Normal 20 2 4" xfId="4415" xr:uid="{F5F0001D-6B9D-42D9-827D-164C64FB69CF}"/>
    <cellStyle name="Normal 20 2 4 2" xfId="8983" xr:uid="{CD73F0A9-79E2-43FE-83AF-FA09BE35D5F1}"/>
    <cellStyle name="Normal 20 2 5" xfId="6691" xr:uid="{B1D40934-297C-499E-851C-55294EBD92AF}"/>
    <cellStyle name="Normal 20 3" xfId="2228" xr:uid="{1050E49C-D6DB-4CF4-9287-8690B994F96C}"/>
    <cellStyle name="Normal 20 3 2" xfId="3241" xr:uid="{45331F4F-ECC7-42A7-916E-D16AFCCD9826}"/>
    <cellStyle name="Normal 20 3 2 2" xfId="5665" xr:uid="{EBFFCB56-8BB0-4BA6-BA6E-893B10E6A4CE}"/>
    <cellStyle name="Normal 20 3 2 2 2" xfId="10233" xr:uid="{DC3154DF-3D77-41F1-82B7-004260C07663}"/>
    <cellStyle name="Normal 20 3 2 3" xfId="7941" xr:uid="{601B4F67-E2EB-4043-B366-02A9C346078A}"/>
    <cellStyle name="Normal 20 3 3" xfId="4656" xr:uid="{A6207450-3BD6-4002-8C51-4C8159AAD400}"/>
    <cellStyle name="Normal 20 3 3 2" xfId="9224" xr:uid="{72A2B4AD-C904-49DA-87F3-5B337AFD4609}"/>
    <cellStyle name="Normal 20 3 4" xfId="6932" xr:uid="{A312F9F3-EE73-47A4-9621-2B1FF773B187}"/>
    <cellStyle name="Normal 20 4" xfId="2812" xr:uid="{6D6B3142-223F-4070-ACB9-97CCF50E5A0C}"/>
    <cellStyle name="Normal 20 4 2" xfId="5237" xr:uid="{C187E5F4-9031-4DDB-931C-4C7EC5723781}"/>
    <cellStyle name="Normal 20 4 2 2" xfId="9805" xr:uid="{F15507A2-C4CE-4DB7-B888-7E964B1E776A}"/>
    <cellStyle name="Normal 20 4 3" xfId="7513" xr:uid="{0F3F3E8C-5CCA-4083-870B-0A01D52EA85C}"/>
    <cellStyle name="Normal 20 5" xfId="4226" xr:uid="{40256846-24AB-4F06-A294-3D565F1F590A}"/>
    <cellStyle name="Normal 20 5 2" xfId="8794" xr:uid="{B68FE99D-2180-4BF2-98FE-E15E74DD1842}"/>
    <cellStyle name="Normal 20 6" xfId="6503" xr:uid="{7258E8C9-D94F-4B81-A738-EEFA9F078174}"/>
    <cellStyle name="Normal 20 7" xfId="1583" xr:uid="{62006FA5-5526-4A00-B3B1-E680E78C041D}"/>
    <cellStyle name="Normal 21" xfId="921" xr:uid="{00000000-0005-0000-0000-000069030000}"/>
    <cellStyle name="Normal 21 2" xfId="1875" xr:uid="{D08D5F4D-74BC-499A-8AC2-7BA788FA2B6F}"/>
    <cellStyle name="Normal 21 2 2" xfId="2419" xr:uid="{D8521EB1-2F15-4127-8E9A-E855B785FF20}"/>
    <cellStyle name="Normal 21 2 2 2" xfId="3430" xr:uid="{F2EB3FF2-791C-4709-8569-8A2AAC730C3F}"/>
    <cellStyle name="Normal 21 2 2 2 2" xfId="5854" xr:uid="{A0F36E04-5ED9-478A-A423-B0940DCBEA6F}"/>
    <cellStyle name="Normal 21 2 2 2 2 2" xfId="10422" xr:uid="{1E0E43C4-D919-4FA9-B55C-526735835D4C}"/>
    <cellStyle name="Normal 21 2 2 2 3" xfId="8130" xr:uid="{8A48B95D-D9E9-4B34-96CE-DD8F89E7256A}"/>
    <cellStyle name="Normal 21 2 2 3" xfId="4845" xr:uid="{96D1462D-398A-4330-8F02-52C825C84AC1}"/>
    <cellStyle name="Normal 21 2 2 3 2" xfId="9413" xr:uid="{DF10D59C-A5DB-42DF-BE04-63595604FB44}"/>
    <cellStyle name="Normal 21 2 2 4" xfId="7121" xr:uid="{D1943A29-DE07-40E1-B5C2-102E8078A611}"/>
    <cellStyle name="Normal 21 2 3" xfId="3002" xr:uid="{CD1F82D3-4484-497C-BCD2-BE1ED212AD4B}"/>
    <cellStyle name="Normal 21 2 3 2" xfId="5426" xr:uid="{00A40B6C-7D62-4027-BC96-0285FF28E63B}"/>
    <cellStyle name="Normal 21 2 3 2 2" xfId="9994" xr:uid="{A5B0757C-269C-4EA1-81EB-380245B59495}"/>
    <cellStyle name="Normal 21 2 3 3" xfId="7702" xr:uid="{BBD73E95-E9B9-4CFC-B549-799D749BF958}"/>
    <cellStyle name="Normal 21 2 4" xfId="4417" xr:uid="{5284B549-2A9E-4B01-9AA9-05F8C560CB3B}"/>
    <cellStyle name="Normal 21 2 4 2" xfId="8985" xr:uid="{8698FB24-C440-4E61-A37A-56CAE3DA9252}"/>
    <cellStyle name="Normal 21 2 5" xfId="6693" xr:uid="{ECF8D5E2-C92C-49FE-B4FF-3BA1DC266C5A}"/>
    <cellStyle name="Normal 21 3" xfId="2230" xr:uid="{564AFFDE-E62B-45F5-8977-F89A1EF3F3D3}"/>
    <cellStyle name="Normal 21 3 2" xfId="3243" xr:uid="{013B49BC-414C-4C01-8E17-724600477414}"/>
    <cellStyle name="Normal 21 3 2 2" xfId="5667" xr:uid="{5D5FF70E-82A4-4241-91E8-C05D8503FCBB}"/>
    <cellStyle name="Normal 21 3 2 2 2" xfId="10235" xr:uid="{86E46614-D6D5-4CAD-BD4A-C32F4B27641C}"/>
    <cellStyle name="Normal 21 3 2 3" xfId="7943" xr:uid="{E3A934DD-6988-49E1-A7C6-E099014EBC06}"/>
    <cellStyle name="Normal 21 3 3" xfId="4658" xr:uid="{DA5E4737-898A-48E0-9A69-853CA1AD5CDE}"/>
    <cellStyle name="Normal 21 3 3 2" xfId="9226" xr:uid="{B88BE1E9-88F2-433E-9A6A-79CBB4CC9797}"/>
    <cellStyle name="Normal 21 3 4" xfId="6934" xr:uid="{00D7112A-3ABA-420E-AE9E-B0019120313C}"/>
    <cellStyle name="Normal 21 4" xfId="2814" xr:uid="{92E3075E-BDC9-40D7-BEA0-94000623CBA1}"/>
    <cellStyle name="Normal 21 4 2" xfId="5239" xr:uid="{77A9851E-14DF-4037-BD91-0BAA6B96D9F4}"/>
    <cellStyle name="Normal 21 4 2 2" xfId="9807" xr:uid="{2AAC4EE9-9E34-41A9-A18E-77DB68AFAE18}"/>
    <cellStyle name="Normal 21 4 3" xfId="7515" xr:uid="{877F1304-3BB2-4151-B312-C912C77FB16C}"/>
    <cellStyle name="Normal 21 5" xfId="4228" xr:uid="{D1C411A3-1C2A-42B6-BD9E-3E64CFC686D5}"/>
    <cellStyle name="Normal 21 5 2" xfId="8796" xr:uid="{7F05E52A-C01F-402F-B263-79806691F60C}"/>
    <cellStyle name="Normal 21 6" xfId="6505" xr:uid="{B0239884-66E3-4DB6-A64A-1C6AEB572440}"/>
    <cellStyle name="Normal 21 7" xfId="1585" xr:uid="{F4CB5B45-8E44-4A5D-ADB5-96ACEFF5FDCA}"/>
    <cellStyle name="Normal 22" xfId="938" xr:uid="{00000000-0005-0000-0000-00006A030000}"/>
    <cellStyle name="Normal 22 2" xfId="1880" xr:uid="{4AE199EB-CD91-4A77-83CF-96CB0B08FFFA}"/>
    <cellStyle name="Normal 22 2 2" xfId="2422" xr:uid="{39FC988A-8060-4436-81FB-00454E2FC040}"/>
    <cellStyle name="Normal 22 2 2 2" xfId="3433" xr:uid="{8CD96667-898B-4B3E-A027-0CFC4BD5A102}"/>
    <cellStyle name="Normal 22 2 2 2 2" xfId="5857" xr:uid="{2F67D201-86E1-4FCF-9431-03AE5DB7A7C5}"/>
    <cellStyle name="Normal 22 2 2 2 2 2" xfId="10425" xr:uid="{44639559-662A-454C-81D5-1C04A112EF93}"/>
    <cellStyle name="Normal 22 2 2 2 3" xfId="8133" xr:uid="{C5A2BFC4-8679-4B3E-A0ED-A43D713628E2}"/>
    <cellStyle name="Normal 22 2 2 3" xfId="4848" xr:uid="{58B4F8CD-0B3A-4FAB-B470-7BF122E190B1}"/>
    <cellStyle name="Normal 22 2 2 3 2" xfId="9416" xr:uid="{F69D3FAC-AD87-4A44-B924-D4F96DA5E19D}"/>
    <cellStyle name="Normal 22 2 2 4" xfId="7124" xr:uid="{47FD197A-4033-41F2-B74B-7D3D2B28AC4A}"/>
    <cellStyle name="Normal 22 2 3" xfId="3005" xr:uid="{6A81981D-A80F-42AE-9F2E-8A9BB8940D48}"/>
    <cellStyle name="Normal 22 2 3 2" xfId="5429" xr:uid="{83E8F107-64BA-4E0D-B4C1-19928023414E}"/>
    <cellStyle name="Normal 22 2 3 2 2" xfId="9997" xr:uid="{0999E9A7-7DE8-4390-ACA8-C1E78FF784CC}"/>
    <cellStyle name="Normal 22 2 3 3" xfId="7705" xr:uid="{55FE26BD-1449-4249-A0ED-C67B6E2BE5E3}"/>
    <cellStyle name="Normal 22 2 4" xfId="4420" xr:uid="{4C0187D6-BE28-4719-99B2-3FF41C69087D}"/>
    <cellStyle name="Normal 22 2 4 2" xfId="8988" xr:uid="{CE274BD5-ED65-4C46-A950-60A46FFE9009}"/>
    <cellStyle name="Normal 22 2 5" xfId="6696" xr:uid="{8C1E8F10-4464-4F45-98A6-E10388BD4E36}"/>
    <cellStyle name="Normal 22 3" xfId="2235" xr:uid="{BBCC8D0A-2B78-4014-9715-A6F330EEFACE}"/>
    <cellStyle name="Normal 22 3 2" xfId="3246" xr:uid="{C1673EBC-F00E-44B5-9162-D3B9AFBD6A7D}"/>
    <cellStyle name="Normal 22 3 2 2" xfId="5670" xr:uid="{FF1FF666-450E-4C6B-954A-5843C8087C44}"/>
    <cellStyle name="Normal 22 3 2 2 2" xfId="10238" xr:uid="{4E4E2B1B-BC15-41DA-9443-55C10808A582}"/>
    <cellStyle name="Normal 22 3 2 3" xfId="7946" xr:uid="{9F53DEBA-41BF-4273-A90F-10A85F3052AA}"/>
    <cellStyle name="Normal 22 3 3" xfId="4661" xr:uid="{D693D3D1-0FB6-4421-97F0-154ED06B56BF}"/>
    <cellStyle name="Normal 22 3 3 2" xfId="9229" xr:uid="{E1A31DF2-83C6-4808-92A7-5BD4DC23BF9E}"/>
    <cellStyle name="Normal 22 3 4" xfId="6937" xr:uid="{6EC1889E-D2AF-4EF2-A90A-51C9D0503A70}"/>
    <cellStyle name="Normal 22 4" xfId="2818" xr:uid="{A4AB0A1F-8846-4F10-98AB-ADC900E23F42}"/>
    <cellStyle name="Normal 22 4 2" xfId="5242" xr:uid="{2E86A564-4D96-4C4D-934B-5821C2661B70}"/>
    <cellStyle name="Normal 22 4 2 2" xfId="9810" xr:uid="{3EA264AC-6751-43A8-8629-2310E708771D}"/>
    <cellStyle name="Normal 22 4 3" xfId="7518" xr:uid="{5918901E-895C-45CE-A808-EB78B7862C34}"/>
    <cellStyle name="Normal 22 5" xfId="4233" xr:uid="{6A97E771-2564-4476-8D7C-D24E8F25142F}"/>
    <cellStyle name="Normal 22 5 2" xfId="8801" xr:uid="{9734BF39-2B32-408F-9A86-1B249913EEBD}"/>
    <cellStyle name="Normal 22 6" xfId="6509" xr:uid="{0B4C8D3E-C727-4DE3-B907-EDFB588D43B7}"/>
    <cellStyle name="Normal 22 7" xfId="1590" xr:uid="{7EFD38DA-4645-40DF-B976-790BD78C507A}"/>
    <cellStyle name="Normal 23" xfId="940" xr:uid="{00000000-0005-0000-0000-00006B030000}"/>
    <cellStyle name="Normal 23 2" xfId="925" xr:uid="{00000000-0005-0000-0000-00006C030000}"/>
    <cellStyle name="Normal 23 2 2" xfId="1877" xr:uid="{1023B1EA-E0D6-40F1-B568-4D2AAF02B1E6}"/>
    <cellStyle name="Normal 23 2 2 2" xfId="2420" xr:uid="{696C66E2-EEF9-4644-A7D6-68B6595A6B2F}"/>
    <cellStyle name="Normal 23 2 2 2 2" xfId="3431" xr:uid="{C8280A90-C1A2-4725-9FAB-25B44FB0DB00}"/>
    <cellStyle name="Normal 23 2 2 2 2 2" xfId="5855" xr:uid="{B538F5E3-BEE5-4067-A1E3-805148AB2FCD}"/>
    <cellStyle name="Normal 23 2 2 2 2 2 2" xfId="10423" xr:uid="{2BDDB374-3E2E-4E55-9ABD-EE9AA2FA9CA0}"/>
    <cellStyle name="Normal 23 2 2 2 2 3" xfId="8131" xr:uid="{1826CFE2-5C8F-4D0D-ADFE-B764B9191FBF}"/>
    <cellStyle name="Normal 23 2 2 2 3" xfId="4846" xr:uid="{8C82AB8B-906B-4D69-BB2A-0C48099C80BF}"/>
    <cellStyle name="Normal 23 2 2 2 3 2" xfId="9414" xr:uid="{C7E575A6-8A6E-47DA-8914-E867F93AC600}"/>
    <cellStyle name="Normal 23 2 2 2 4" xfId="7122" xr:uid="{AC289AA0-7AE1-4F14-BD53-8FD978ED4D67}"/>
    <cellStyle name="Normal 23 2 2 3" xfId="3003" xr:uid="{51D54E1D-9240-4392-9D66-1CBDC322F1BA}"/>
    <cellStyle name="Normal 23 2 2 3 2" xfId="5427" xr:uid="{2BFEA1EF-25DA-49EC-99FC-1030591887E4}"/>
    <cellStyle name="Normal 23 2 2 3 2 2" xfId="9995" xr:uid="{4BE53FF1-3E6B-411D-A228-E7111B64ABAF}"/>
    <cellStyle name="Normal 23 2 2 3 3" xfId="7703" xr:uid="{A5D488E3-CDB0-4206-B333-56A84D69E8DF}"/>
    <cellStyle name="Normal 23 2 2 4" xfId="4418" xr:uid="{DF1D2A44-7CF4-471D-BAD5-CAD1855D56F1}"/>
    <cellStyle name="Normal 23 2 2 4 2" xfId="8986" xr:uid="{1CFB1880-AE61-4C58-981A-08F9069E33A3}"/>
    <cellStyle name="Normal 23 2 2 5" xfId="6694" xr:uid="{6FED0950-75FF-4194-B6A6-209A531EB641}"/>
    <cellStyle name="Normal 23 2 3" xfId="2232" xr:uid="{6F948F8D-3F97-44EB-B4C1-FA23CE7825B1}"/>
    <cellStyle name="Normal 23 2 3 2" xfId="3244" xr:uid="{1DE1223F-BC5E-4AFE-92D9-EED73E7504D3}"/>
    <cellStyle name="Normal 23 2 3 2 2" xfId="5668" xr:uid="{89A8C90B-97F5-4964-B4D9-6270943E91FC}"/>
    <cellStyle name="Normal 23 2 3 2 2 2" xfId="10236" xr:uid="{34D801BB-312B-43CA-BDCD-1A080E496273}"/>
    <cellStyle name="Normal 23 2 3 2 3" xfId="7944" xr:uid="{4DA2C923-517E-428D-BBF9-CDC9EDC3C217}"/>
    <cellStyle name="Normal 23 2 3 3" xfId="4659" xr:uid="{09FD0036-532F-4020-8BEB-7E2F9071EC55}"/>
    <cellStyle name="Normal 23 2 3 3 2" xfId="9227" xr:uid="{90890D36-9797-4CC7-9053-6C7331D225E6}"/>
    <cellStyle name="Normal 23 2 3 4" xfId="6935" xr:uid="{91FAB176-DEBA-412C-8A5E-E1736D68B43E}"/>
    <cellStyle name="Normal 23 2 4" xfId="2816" xr:uid="{8577022E-9FC4-4BD1-87DB-C9E4C3766E99}"/>
    <cellStyle name="Normal 23 2 4 2" xfId="5240" xr:uid="{0BC6FED3-EFB2-46ED-82F0-41882396043B}"/>
    <cellStyle name="Normal 23 2 4 2 2" xfId="9808" xr:uid="{511358DC-34F9-4B60-BD63-EA744C231EEE}"/>
    <cellStyle name="Normal 23 2 4 3" xfId="7516" xr:uid="{2AC4F11F-C459-45E8-B659-E0052A0A1287}"/>
    <cellStyle name="Normal 23 2 5" xfId="4230" xr:uid="{1AAE56F0-DE7A-4245-AE25-7D17F6913ADE}"/>
    <cellStyle name="Normal 23 2 5 2" xfId="8798" xr:uid="{299973BA-B499-4359-8FFD-A2CE362C6F06}"/>
    <cellStyle name="Normal 23 2 6" xfId="6507" xr:uid="{956C7282-C48B-434F-925B-5EAC1F8CFB83}"/>
    <cellStyle name="Normal 23 2 7" xfId="1587" xr:uid="{5A245A4E-39ED-4506-9B28-3A89495CB61C}"/>
    <cellStyle name="Normal 23 3" xfId="1594" xr:uid="{167F4D5E-7AC3-4908-9F60-1B581F0B9548}"/>
    <cellStyle name="Normal 23 3 2" xfId="1598" xr:uid="{66DDF9D7-CB45-40E6-837F-A9FD798AA006}"/>
    <cellStyle name="Normal 23 3 2 2" xfId="1888" xr:uid="{EE513BEF-AB0F-457E-96B9-02FE7A6333BE}"/>
    <cellStyle name="Normal 23 3 2 2 2" xfId="2430" xr:uid="{DA1EEF9D-2C74-4827-91D6-15FE35941399}"/>
    <cellStyle name="Normal 23 3 2 2 2 2" xfId="3441" xr:uid="{1977030C-4FD1-4D83-A2B5-DF557103E233}"/>
    <cellStyle name="Normal 23 3 2 2 2 2 2" xfId="5865" xr:uid="{A1015A1E-93F5-4BED-A23D-D14F58F57B24}"/>
    <cellStyle name="Normal 23 3 2 2 2 2 2 2" xfId="10433" xr:uid="{1A8B47B7-4FDD-44CE-8090-33D5DD73B476}"/>
    <cellStyle name="Normal 23 3 2 2 2 2 3" xfId="8141" xr:uid="{0831CA64-6531-4707-B2F3-462CFDCAB3A0}"/>
    <cellStyle name="Normal 23 3 2 2 2 3" xfId="4856" xr:uid="{E4424870-A079-4490-B2AA-9AE9C71DAD42}"/>
    <cellStyle name="Normal 23 3 2 2 2 3 2" xfId="9424" xr:uid="{BDF88C9B-1251-4756-B6A1-FDD4C9812A15}"/>
    <cellStyle name="Normal 23 3 2 2 2 4" xfId="7132" xr:uid="{6CF714D4-A6EF-4E4F-99E2-2B5DB34FF9C7}"/>
    <cellStyle name="Normal 23 3 2 2 3" xfId="3013" xr:uid="{9811BD0D-C6B7-4E63-99DB-407721968E73}"/>
    <cellStyle name="Normal 23 3 2 2 3 2" xfId="5437" xr:uid="{014E0637-150B-4596-8D4A-0E0366EF1750}"/>
    <cellStyle name="Normal 23 3 2 2 3 2 2" xfId="10005" xr:uid="{D9254757-07F1-4334-98EB-48FC738214BD}"/>
    <cellStyle name="Normal 23 3 2 2 3 3" xfId="7713" xr:uid="{1F787948-5EF4-413F-964A-F48171071E82}"/>
    <cellStyle name="Normal 23 3 2 2 4" xfId="4428" xr:uid="{8ED3145A-094A-49F2-ABFC-547220244A83}"/>
    <cellStyle name="Normal 23 3 2 2 4 2" xfId="8996" xr:uid="{A1AB34B3-21D0-4630-98BD-0549CD4B6520}"/>
    <cellStyle name="Normal 23 3 2 2 5" xfId="6704" xr:uid="{7F2C3FDF-B0D0-4CA3-B97E-5BF8BBE0D751}"/>
    <cellStyle name="Normal 23 3 2 3" xfId="1601" xr:uid="{6D8E9E27-B2F4-4212-B818-25324E1AD049}"/>
    <cellStyle name="Normal 23 3 2 3 2" xfId="1611" xr:uid="{3B16DC98-EEF0-4616-90FC-25703383B4DA}"/>
    <cellStyle name="Normal 23 3 2 3 2 2" xfId="1614" xr:uid="{0740266D-DA8D-4CB0-8024-DB8CEF30050C}"/>
    <cellStyle name="Normal 23 3 2 3 2 2 2" xfId="1634" xr:uid="{1191F081-4752-450F-BC55-BFA942E91E9E}"/>
    <cellStyle name="Normal 23 3 2 3 2 2 2 2" xfId="1924" xr:uid="{507F5576-5CCB-4D06-A8F5-756E4603473E}"/>
    <cellStyle name="Normal 23 3 2 3 2 2 2 2 2" xfId="2466" xr:uid="{0799BB5C-17EA-4A3C-9775-1D45864D636D}"/>
    <cellStyle name="Normal 23 3 2 3 2 2 2 2 2 2" xfId="3477" xr:uid="{6A162C70-80E4-474F-97B8-AE8405145653}"/>
    <cellStyle name="Normal 23 3 2 3 2 2 2 2 2 2 2" xfId="5901" xr:uid="{418EE9BC-71CD-48DA-8FE2-26374B5A940D}"/>
    <cellStyle name="Normal 23 3 2 3 2 2 2 2 2 2 2 2" xfId="10469" xr:uid="{CFE1C7C8-1487-44A9-BBC4-5EBE6C3AC11D}"/>
    <cellStyle name="Normal 23 3 2 3 2 2 2 2 2 2 3" xfId="8177" xr:uid="{78F03831-AF27-4EA2-A003-53038AB7FCCB}"/>
    <cellStyle name="Normal 23 3 2 3 2 2 2 2 2 3" xfId="4892" xr:uid="{FBD41796-8A8D-4ECF-8DC8-E303C2949F9F}"/>
    <cellStyle name="Normal 23 3 2 3 2 2 2 2 2 3 2" xfId="9460" xr:uid="{9F54A734-E076-4548-A33F-5CD64E352EE0}"/>
    <cellStyle name="Normal 23 3 2 3 2 2 2 2 2 4" xfId="7168" xr:uid="{01E83308-5647-43B7-9D45-E2E28335C460}"/>
    <cellStyle name="Normal 23 3 2 3 2 2 2 2 3" xfId="3049" xr:uid="{DBD5202B-725E-433A-9C77-0F70ACB25BF7}"/>
    <cellStyle name="Normal 23 3 2 3 2 2 2 2 3 2" xfId="5473" xr:uid="{6D8B15AC-60D8-4624-8059-C8935B3DB286}"/>
    <cellStyle name="Normal 23 3 2 3 2 2 2 2 3 2 2" xfId="10041" xr:uid="{A6387572-B69C-4792-B673-521FD32BAB34}"/>
    <cellStyle name="Normal 23 3 2 3 2 2 2 2 3 3" xfId="7749" xr:uid="{1AF03CCC-EFB1-4152-A2B7-FDF4E46481FC}"/>
    <cellStyle name="Normal 23 3 2 3 2 2 2 2 4" xfId="4464" xr:uid="{3943FBB4-0ECF-4BC0-99BC-2C95A1ED0B3C}"/>
    <cellStyle name="Normal 23 3 2 3 2 2 2 2 4 2" xfId="9032" xr:uid="{4AD55CC3-E78B-49E7-81D8-17308E96DF9A}"/>
    <cellStyle name="Normal 23 3 2 3 2 2 2 2 5" xfId="6740" xr:uid="{C3416238-3087-49A0-8B22-21739768E59A}"/>
    <cellStyle name="Normal 23 3 2 3 2 2 2 3" xfId="1940" xr:uid="{CAF1484A-DBA0-4D1A-AD38-C2B790C52726}"/>
    <cellStyle name="Normal 23 3 2 3 2 2 2 3 2" xfId="2479" xr:uid="{9D87F899-36CF-4C33-A715-C99A9C900F4F}"/>
    <cellStyle name="Normal 23 3 2 3 2 2 2 3 2 2" xfId="3490" xr:uid="{B0119466-D434-4933-8FEE-CCDBFB13B84B}"/>
    <cellStyle name="Normal 23 3 2 3 2 2 2 3 2 2 2" xfId="5914" xr:uid="{AF009DA4-C5AF-4919-84AB-3DDA5246F735}"/>
    <cellStyle name="Normal 23 3 2 3 2 2 2 3 2 2 2 2" xfId="10482" xr:uid="{33E32E1F-182D-4EB0-9715-A2A63FEDAE92}"/>
    <cellStyle name="Normal 23 3 2 3 2 2 2 3 2 2 3" xfId="8190" xr:uid="{324B463D-984D-4BF1-B958-1E32BD899008}"/>
    <cellStyle name="Normal 23 3 2 3 2 2 2 3 2 3" xfId="4905" xr:uid="{C9AE4CAA-20D9-4557-B383-B9F9A803DC14}"/>
    <cellStyle name="Normal 23 3 2 3 2 2 2 3 2 3 2" xfId="9473" xr:uid="{230900DB-06A7-41A9-B07E-B69EA0290601}"/>
    <cellStyle name="Normal 23 3 2 3 2 2 2 3 2 4" xfId="7181" xr:uid="{1C9C3064-2CC0-4280-B767-ADA7DE5B33D4}"/>
    <cellStyle name="Normal 23 3 2 3 2 2 2 3 3" xfId="3062" xr:uid="{1C69A450-CD12-400D-864B-A5634E19A592}"/>
    <cellStyle name="Normal 23 3 2 3 2 2 2 3 3 2" xfId="5486" xr:uid="{1BA015EF-7167-4C72-B55C-D8CBD9570A61}"/>
    <cellStyle name="Normal 23 3 2 3 2 2 2 3 3 2 2" xfId="10054" xr:uid="{73C72E98-AAA5-4FAC-9AA7-48842B279BC9}"/>
    <cellStyle name="Normal 23 3 2 3 2 2 2 3 3 3" xfId="7762" xr:uid="{3ACD8972-A665-4B2F-9B53-32338279176F}"/>
    <cellStyle name="Normal 23 3 2 3 2 2 2 3 4" xfId="4477" xr:uid="{4C551320-DCAA-444A-9BFF-B857528AB35F}"/>
    <cellStyle name="Normal 23 3 2 3 2 2 2 3 4 2" xfId="9045" xr:uid="{B325BD31-4BCD-495F-B191-E04BC9BAC88A}"/>
    <cellStyle name="Normal 23 3 2 3 2 2 2 3 5" xfId="6753" xr:uid="{7513E450-9A1C-456E-BAB1-AC0E4CC5FBD7}"/>
    <cellStyle name="Normal 23 3 2 3 2 2 2 4" xfId="1948" xr:uid="{C123E7F9-F708-4B1F-8D41-E2965CC2D9A8}"/>
    <cellStyle name="Normal 23 3 2 3 2 2 2 4 2" xfId="2486" xr:uid="{1771A52F-BDF4-4311-9A4D-864ECA93D62F}"/>
    <cellStyle name="Normal 23 3 2 3 2 2 2 4 2 2" xfId="3497" xr:uid="{D71EE649-40B8-43C9-928D-9AE0117BB58F}"/>
    <cellStyle name="Normal 23 3 2 3 2 2 2 4 2 2 2" xfId="5921" xr:uid="{B6AB6336-CCE7-439D-B360-67C9AA42F67F}"/>
    <cellStyle name="Normal 23 3 2 3 2 2 2 4 2 2 2 2" xfId="10489" xr:uid="{36178056-58BC-4C67-B01C-2784D70A3314}"/>
    <cellStyle name="Normal 23 3 2 3 2 2 2 4 2 2 3" xfId="8197" xr:uid="{A1B98392-4D72-4C65-8194-3B74C8F8F04E}"/>
    <cellStyle name="Normal 23 3 2 3 2 2 2 4 2 3" xfId="4912" xr:uid="{89332E5A-BCCE-48AC-9ABD-B2CF0D20EF83}"/>
    <cellStyle name="Normal 23 3 2 3 2 2 2 4 2 3 2" xfId="9480" xr:uid="{A442FB88-43B7-4907-9B8C-677748CA85E0}"/>
    <cellStyle name="Normal 23 3 2 3 2 2 2 4 2 4" xfId="7188" xr:uid="{FFDFC65F-535D-4708-A70C-DF54AE606490}"/>
    <cellStyle name="Normal 23 3 2 3 2 2 2 4 3" xfId="3069" xr:uid="{B437E824-4DDF-4501-AE2B-D68CD6D05BB1}"/>
    <cellStyle name="Normal 23 3 2 3 2 2 2 4 3 2" xfId="5493" xr:uid="{281C45FD-DE0F-4744-B05B-B103C1D6A263}"/>
    <cellStyle name="Normal 23 3 2 3 2 2 2 4 3 2 2" xfId="10061" xr:uid="{11B98DD3-6970-4725-9FF0-0C4F1BCD6D2C}"/>
    <cellStyle name="Normal 23 3 2 3 2 2 2 4 3 3" xfId="7769" xr:uid="{07C19318-3CD2-47CF-944D-219A8DB7810B}"/>
    <cellStyle name="Normal 23 3 2 3 2 2 2 4 4" xfId="4484" xr:uid="{4545EC4E-910A-4CFF-8C28-ED85ADDC13F3}"/>
    <cellStyle name="Normal 23 3 2 3 2 2 2 4 4 2" xfId="9052" xr:uid="{5A42461E-5B5A-4820-B53B-09023348515F}"/>
    <cellStyle name="Normal 23 3 2 3 2 2 2 4 5" xfId="6760" xr:uid="{A84FB6FF-8E81-4F3F-A0C8-22E226F4FF2F}"/>
    <cellStyle name="Normal 23 3 2 3 2 2 2 5" xfId="1959" xr:uid="{E866D7E9-1D7F-463E-9942-A4C20EC17B82}"/>
    <cellStyle name="Normal 23 3 2 3 2 2 2 5 2" xfId="1962" xr:uid="{2083A9ED-BF67-4DD4-B1C7-DCCDDCEAC6EC}"/>
    <cellStyle name="Normal 23 3 2 3 2 2 2 5 2 2" xfId="2499" xr:uid="{CF299769-5490-495F-B10F-0C36DF85DB1F}"/>
    <cellStyle name="Normal 23 3 2 3 2 2 2 5 2 2 2" xfId="3510" xr:uid="{5F800F3B-FD75-4540-89E9-8BB572748296}"/>
    <cellStyle name="Normal 23 3 2 3 2 2 2 5 2 2 2 2" xfId="5934" xr:uid="{0D2F93BB-AADC-4476-8363-41F76DD8C6CF}"/>
    <cellStyle name="Normal 23 3 2 3 2 2 2 5 2 2 2 2 2" xfId="10502" xr:uid="{A1915FF4-C5B2-43F0-AA33-0C02BCBECFEA}"/>
    <cellStyle name="Normal 23 3 2 3 2 2 2 5 2 2 2 3" xfId="8210" xr:uid="{CA5350A3-E9D0-413A-83BD-228BC2B239D9}"/>
    <cellStyle name="Normal 23 3 2 3 2 2 2 5 2 2 3" xfId="4925" xr:uid="{4154D051-FF74-49AD-9CA1-1776464D796E}"/>
    <cellStyle name="Normal 23 3 2 3 2 2 2 5 2 2 3 2" xfId="9493" xr:uid="{99334F44-2615-4F25-AEDF-C189DDA7016F}"/>
    <cellStyle name="Normal 23 3 2 3 2 2 2 5 2 2 4" xfId="7201" xr:uid="{62811778-682F-4862-989F-8F014429BB8A}"/>
    <cellStyle name="Normal 23 3 2 3 2 2 2 5 2 3" xfId="3082" xr:uid="{5FEADBE7-6199-4E59-9B57-E6EAAFE3ACB4}"/>
    <cellStyle name="Normal 23 3 2 3 2 2 2 5 2 3 2" xfId="5506" xr:uid="{50645ECF-0852-4D2C-A4A8-843D8B70CD73}"/>
    <cellStyle name="Normal 23 3 2 3 2 2 2 5 2 3 2 2" xfId="10074" xr:uid="{ED092AB9-CE58-485E-A123-3D99A963506F}"/>
    <cellStyle name="Normal 23 3 2 3 2 2 2 5 2 3 3" xfId="7782" xr:uid="{B8A89781-3505-4D76-8F65-32B00A06CA64}"/>
    <cellStyle name="Normal 23 3 2 3 2 2 2 5 2 4" xfId="4497" xr:uid="{8A8F68AD-EAE8-4771-B419-9C92CDD80691}"/>
    <cellStyle name="Normal 23 3 2 3 2 2 2 5 2 4 2" xfId="9065" xr:uid="{FE973C56-D23D-45F2-88D1-04EB29B1AE1B}"/>
    <cellStyle name="Normal 23 3 2 3 2 2 2 5 2 5" xfId="6773" xr:uid="{3E6ACD9C-18B1-4627-BB05-0CC9230275C2}"/>
    <cellStyle name="Normal 23 3 2 3 2 2 2 5 3" xfId="2496" xr:uid="{407CD954-382B-449D-A28F-FBF29161EF06}"/>
    <cellStyle name="Normal 23 3 2 3 2 2 2 5 3 2" xfId="3507" xr:uid="{0839915B-437B-4871-ABDC-D2C3AB8C94B6}"/>
    <cellStyle name="Normal 23 3 2 3 2 2 2 5 3 2 2" xfId="5931" xr:uid="{62CDCB79-D8CD-4B4E-B16D-387A13E932D4}"/>
    <cellStyle name="Normal 23 3 2 3 2 2 2 5 3 2 2 2" xfId="10499" xr:uid="{A38875E3-EC10-417C-831E-6B74D2CAFB55}"/>
    <cellStyle name="Normal 23 3 2 3 2 2 2 5 3 2 3" xfId="8207" xr:uid="{6D5D8F29-ED69-4772-AC06-84F5D71345EF}"/>
    <cellStyle name="Normal 23 3 2 3 2 2 2 5 3 3" xfId="4922" xr:uid="{43C6E959-D50C-47D7-A6B5-94BB586AA871}"/>
    <cellStyle name="Normal 23 3 2 3 2 2 2 5 3 3 2" xfId="9490" xr:uid="{74D61A94-8971-4CA1-829D-08663386070B}"/>
    <cellStyle name="Normal 23 3 2 3 2 2 2 5 3 4" xfId="7198" xr:uid="{22C4C545-E162-44B5-B0F6-C33C5BD1B818}"/>
    <cellStyle name="Normal 23 3 2 3 2 2 2 5 4" xfId="3079" xr:uid="{74C1B196-4D9B-4B99-AA09-929B2BF532A5}"/>
    <cellStyle name="Normal 23 3 2 3 2 2 2 5 4 2" xfId="5503" xr:uid="{741BD5C6-FE26-41BE-9E14-D68222A96E3E}"/>
    <cellStyle name="Normal 23 3 2 3 2 2 2 5 4 2 2" xfId="10071" xr:uid="{13D3BA22-5643-4501-8676-539F6EBB43AA}"/>
    <cellStyle name="Normal 23 3 2 3 2 2 2 5 4 3" xfId="7779" xr:uid="{79C13866-1184-49CC-8DB6-066239AD1D7C}"/>
    <cellStyle name="Normal 23 3 2 3 2 2 2 5 5" xfId="4494" xr:uid="{094BA638-C86D-4745-B4E6-41AEB741DDE9}"/>
    <cellStyle name="Normal 23 3 2 3 2 2 2 5 5 2" xfId="9062" xr:uid="{A7D77393-8AD1-4C18-8005-CFC5477FCBA2}"/>
    <cellStyle name="Normal 23 3 2 3 2 2 2 5 6" xfId="6770" xr:uid="{264CAD09-C65F-45D9-A806-7E63B4991D56}"/>
    <cellStyle name="Normal 23 3 2 3 2 2 2 6" xfId="2279" xr:uid="{FDA31951-5FF5-4382-BA5A-5FA1A64A636F}"/>
    <cellStyle name="Normal 23 3 2 3 2 2 2 6 2" xfId="3290" xr:uid="{00BD1387-FEB0-4CA3-A5E0-13CDE1189390}"/>
    <cellStyle name="Normal 23 3 2 3 2 2 2 6 2 2" xfId="5714" xr:uid="{519C903D-7E3F-4ACC-8234-55A06EA32E6C}"/>
    <cellStyle name="Normal 23 3 2 3 2 2 2 6 2 2 2" xfId="10282" xr:uid="{590E8031-DD14-4D63-8383-8BC6AC66DAF8}"/>
    <cellStyle name="Normal 23 3 2 3 2 2 2 6 2 3" xfId="7990" xr:uid="{01769BDF-01DA-42DD-BD3D-974CD340C877}"/>
    <cellStyle name="Normal 23 3 2 3 2 2 2 6 3" xfId="4705" xr:uid="{0ED402BA-D259-4BE9-B693-B9D65711CF5E}"/>
    <cellStyle name="Normal 23 3 2 3 2 2 2 6 3 2" xfId="9273" xr:uid="{CD6C6F57-B6A0-4512-94EE-314371C163BC}"/>
    <cellStyle name="Normal 23 3 2 3 2 2 2 6 4" xfId="6981" xr:uid="{270CD3F2-A9D5-46FE-9420-F59ED0F733D8}"/>
    <cellStyle name="Normal 23 3 2 3 2 2 2 7" xfId="2862" xr:uid="{3CD0A737-7282-4B74-B43C-ECB0ADF9FBFD}"/>
    <cellStyle name="Normal 23 3 2 3 2 2 2 7 2" xfId="5286" xr:uid="{4CD5086D-3ECD-4382-93D4-AC20D7ABD991}"/>
    <cellStyle name="Normal 23 3 2 3 2 2 2 7 2 2" xfId="9854" xr:uid="{D872420C-171E-4532-B8BE-67C9453D68EE}"/>
    <cellStyle name="Normal 23 3 2 3 2 2 2 7 3" xfId="7562" xr:uid="{4E9294F9-F390-4005-BBD4-D3E2C963070F}"/>
    <cellStyle name="Normal 23 3 2 3 2 2 2 8" xfId="4277" xr:uid="{19AE4C27-53A6-4E13-AC06-08B16A1DE3EF}"/>
    <cellStyle name="Normal 23 3 2 3 2 2 2 8 2" xfId="8845" xr:uid="{205794E4-C153-4277-A01A-DA2196557625}"/>
    <cellStyle name="Normal 23 3 2 3 2 2 2 9" xfId="6553" xr:uid="{CFD55896-5FF7-4F64-A1B3-41C21BA905E2}"/>
    <cellStyle name="Normal 23 3 2 3 2 2 3" xfId="1904" xr:uid="{8B7328BA-4805-45C2-9FDA-D05195DBE8DB}"/>
    <cellStyle name="Normal 23 3 2 3 2 2 3 2" xfId="2446" xr:uid="{4ECCD285-6739-43F3-BB08-EAF7C4732ED3}"/>
    <cellStyle name="Normal 23 3 2 3 2 2 3 2 2" xfId="3457" xr:uid="{D95C05BF-97F2-4C93-A582-8A6345267FA3}"/>
    <cellStyle name="Normal 23 3 2 3 2 2 3 2 2 2" xfId="5881" xr:uid="{0AC8B015-5791-4055-ACF7-2E288557820F}"/>
    <cellStyle name="Normal 23 3 2 3 2 2 3 2 2 2 2" xfId="10449" xr:uid="{07845AB6-8EEC-4B3A-9D4D-0308228E9ACD}"/>
    <cellStyle name="Normal 23 3 2 3 2 2 3 2 2 3" xfId="8157" xr:uid="{C281F79A-FE37-4B89-9559-CA6058F3695C}"/>
    <cellStyle name="Normal 23 3 2 3 2 2 3 2 3" xfId="4872" xr:uid="{75E7C8D6-A861-4FCB-87A1-C69AEF496E89}"/>
    <cellStyle name="Normal 23 3 2 3 2 2 3 2 3 2" xfId="9440" xr:uid="{673679AD-17F9-4DA9-B1B3-A41C44556AF7}"/>
    <cellStyle name="Normal 23 3 2 3 2 2 3 2 4" xfId="7148" xr:uid="{2B89910F-026F-4F83-8A3B-389BA0BAECD4}"/>
    <cellStyle name="Normal 23 3 2 3 2 2 3 3" xfId="3029" xr:uid="{1737D4EA-780E-4425-A4C0-30E2ECD91D8D}"/>
    <cellStyle name="Normal 23 3 2 3 2 2 3 3 2" xfId="5453" xr:uid="{24EA82D3-F1FA-4FE8-9A4C-D79F48BBF97C}"/>
    <cellStyle name="Normal 23 3 2 3 2 2 3 3 2 2" xfId="10021" xr:uid="{51E07A7F-5FAF-4F64-9E26-D6085500736F}"/>
    <cellStyle name="Normal 23 3 2 3 2 2 3 3 3" xfId="7729" xr:uid="{7CF62197-032E-4925-BDFC-AA736FE078F5}"/>
    <cellStyle name="Normal 23 3 2 3 2 2 3 4" xfId="4444" xr:uid="{2ACBAE53-82D2-4FEE-829C-1B727AC96EBE}"/>
    <cellStyle name="Normal 23 3 2 3 2 2 3 4 2" xfId="9012" xr:uid="{41D54590-2AD5-4F5B-B5E6-49A87B797AA2}"/>
    <cellStyle name="Normal 23 3 2 3 2 2 3 5" xfId="6720" xr:uid="{BEFEEAC2-E6B8-4AAD-8B55-552FFB2EC6A1}"/>
    <cellStyle name="Normal 23 3 2 3 2 2 4" xfId="2259" xr:uid="{1DDE33FE-87DB-46FB-A40C-87F51D489692}"/>
    <cellStyle name="Normal 23 3 2 3 2 2 4 2" xfId="3270" xr:uid="{412C44AA-E58E-4C39-BEC7-837C1922F5DC}"/>
    <cellStyle name="Normal 23 3 2 3 2 2 4 2 2" xfId="5694" xr:uid="{8D39DE62-A5F8-449D-B76C-3D5AD8D3ABCA}"/>
    <cellStyle name="Normal 23 3 2 3 2 2 4 2 2 2" xfId="10262" xr:uid="{6D77B0A2-F8F3-4619-ADEE-B7C0429E8E75}"/>
    <cellStyle name="Normal 23 3 2 3 2 2 4 2 3" xfId="7970" xr:uid="{3DE6DC9D-9A42-4657-AB9C-B1265471C644}"/>
    <cellStyle name="Normal 23 3 2 3 2 2 4 3" xfId="4685" xr:uid="{42DC0C4E-E437-477B-8AE9-301DF3D44067}"/>
    <cellStyle name="Normal 23 3 2 3 2 2 4 3 2" xfId="9253" xr:uid="{4224A7B9-1B64-4A3F-8D03-C92AF49DF37D}"/>
    <cellStyle name="Normal 23 3 2 3 2 2 4 4" xfId="6961" xr:uid="{4A8DD91A-333B-4452-A54B-77BCB1CB2CDC}"/>
    <cellStyle name="Normal 23 3 2 3 2 2 5" xfId="2842" xr:uid="{2535C51B-AF7A-4EA8-A9B4-314337EAF564}"/>
    <cellStyle name="Normal 23 3 2 3 2 2 5 2" xfId="5266" xr:uid="{700797CE-A42A-44C4-B137-424399793EC9}"/>
    <cellStyle name="Normal 23 3 2 3 2 2 5 2 2" xfId="9834" xr:uid="{5B3368C4-382B-49DC-8411-E5E7C161F504}"/>
    <cellStyle name="Normal 23 3 2 3 2 2 5 3" xfId="7542" xr:uid="{20A328B7-5C15-433A-9192-203AB997E079}"/>
    <cellStyle name="Normal 23 3 2 3 2 2 6" xfId="4257" xr:uid="{4D4A06E0-0063-48EB-85F6-318C0811D25B}"/>
    <cellStyle name="Normal 23 3 2 3 2 2 6 2" xfId="8825" xr:uid="{274B34DD-256D-453A-B5EA-5E9C73533911}"/>
    <cellStyle name="Normal 23 3 2 3 2 2 7" xfId="6533" xr:uid="{484928EF-1757-495D-950D-967CAD58F03D}"/>
    <cellStyle name="Normal 23 3 2 3 2 3" xfId="1617" xr:uid="{7F29872D-7C0F-4056-BCEB-8E550520FEA4}"/>
    <cellStyle name="Normal 23 3 2 3 2 3 2" xfId="1633" xr:uid="{8F9F464D-8692-4F6D-94EC-3A902423A266}"/>
    <cellStyle name="Normal 23 3 2 3 2 3 2 2" xfId="1923" xr:uid="{3D670AC5-B762-4764-A43E-C38766010205}"/>
    <cellStyle name="Normal 23 3 2 3 2 3 2 2 2" xfId="2465" xr:uid="{18C3208B-A986-4796-9976-8F4D92CF3785}"/>
    <cellStyle name="Normal 23 3 2 3 2 3 2 2 2 2" xfId="3476" xr:uid="{3A088FC7-0E12-4342-942D-19A2BD14619E}"/>
    <cellStyle name="Normal 23 3 2 3 2 3 2 2 2 2 2" xfId="5900" xr:uid="{AAB12C0F-664B-4408-8BCE-9B301F562BC2}"/>
    <cellStyle name="Normal 23 3 2 3 2 3 2 2 2 2 2 2" xfId="10468" xr:uid="{25F47A8D-697B-4648-A859-31ECB1A34172}"/>
    <cellStyle name="Normal 23 3 2 3 2 3 2 2 2 2 3" xfId="8176" xr:uid="{65809872-EE2A-4F12-877E-BAEEAE1CE492}"/>
    <cellStyle name="Normal 23 3 2 3 2 3 2 2 2 3" xfId="4891" xr:uid="{19F281BD-C854-4E2E-A7A5-03C9F5E8DDD1}"/>
    <cellStyle name="Normal 23 3 2 3 2 3 2 2 2 3 2" xfId="9459" xr:uid="{EADED054-96B7-4A5F-AF91-2F246DC39633}"/>
    <cellStyle name="Normal 23 3 2 3 2 3 2 2 2 4" xfId="7167" xr:uid="{1101ADD3-B555-4726-87CB-324D69F6D04E}"/>
    <cellStyle name="Normal 23 3 2 3 2 3 2 2 3" xfId="3048" xr:uid="{8F17227E-BF67-45ED-B2F1-3366255C5EF7}"/>
    <cellStyle name="Normal 23 3 2 3 2 3 2 2 3 2" xfId="5472" xr:uid="{9472D42B-60E8-405A-B170-997D93A6764F}"/>
    <cellStyle name="Normal 23 3 2 3 2 3 2 2 3 2 2" xfId="10040" xr:uid="{6C9260CA-DBDE-451E-A0B0-2673FDFC7432}"/>
    <cellStyle name="Normal 23 3 2 3 2 3 2 2 3 3" xfId="7748" xr:uid="{2B4A4447-43F0-4FF8-9651-42FEDF46FF0B}"/>
    <cellStyle name="Normal 23 3 2 3 2 3 2 2 4" xfId="4463" xr:uid="{5E832FEE-683E-4266-B22B-69DE98D9FA72}"/>
    <cellStyle name="Normal 23 3 2 3 2 3 2 2 4 2" xfId="9031" xr:uid="{BB514810-B62E-4DBD-B111-F55128D2F1CD}"/>
    <cellStyle name="Normal 23 3 2 3 2 3 2 2 5" xfId="6739" xr:uid="{13C4D109-ADBD-4691-B939-8D018BF17D6E}"/>
    <cellStyle name="Normal 23 3 2 3 2 3 2 3" xfId="1939" xr:uid="{2449B67B-0AEF-4385-9051-B5A90562EE1B}"/>
    <cellStyle name="Normal 23 3 2 3 2 3 2 3 2" xfId="2478" xr:uid="{9055EECD-E9E4-4135-A37F-95620C6C2D7F}"/>
    <cellStyle name="Normal 23 3 2 3 2 3 2 3 2 2" xfId="3489" xr:uid="{64F77BB8-FC25-4848-811C-0B7E9D9983C4}"/>
    <cellStyle name="Normal 23 3 2 3 2 3 2 3 2 2 2" xfId="5913" xr:uid="{D43FA6AF-0EAD-43F9-80C3-FF52838A338D}"/>
    <cellStyle name="Normal 23 3 2 3 2 3 2 3 2 2 2 2" xfId="10481" xr:uid="{DE0ED4E2-8E4C-4A91-9C95-1BB54C371922}"/>
    <cellStyle name="Normal 23 3 2 3 2 3 2 3 2 2 3" xfId="8189" xr:uid="{C8FEB305-C575-4002-843F-0DBB0F0AEC8E}"/>
    <cellStyle name="Normal 23 3 2 3 2 3 2 3 2 3" xfId="4904" xr:uid="{0EF53F99-B21A-484C-80B5-4EEEB47C26A5}"/>
    <cellStyle name="Normal 23 3 2 3 2 3 2 3 2 3 2" xfId="9472" xr:uid="{5EC0B33A-EC3A-496B-A4F8-79699D9F92D2}"/>
    <cellStyle name="Normal 23 3 2 3 2 3 2 3 2 4" xfId="7180" xr:uid="{DC39E2CC-4C30-4E0A-AF43-91B9CB1E69C7}"/>
    <cellStyle name="Normal 23 3 2 3 2 3 2 3 3" xfId="3061" xr:uid="{E942BDE1-5668-47D9-8C86-D22ED7BDD2FC}"/>
    <cellStyle name="Normal 23 3 2 3 2 3 2 3 3 2" xfId="5485" xr:uid="{A53796FF-DF2C-4667-9C59-77AB62A9A04A}"/>
    <cellStyle name="Normal 23 3 2 3 2 3 2 3 3 2 2" xfId="10053" xr:uid="{96D144FF-AD69-46EB-946B-8B0F2DFC69D8}"/>
    <cellStyle name="Normal 23 3 2 3 2 3 2 3 3 3" xfId="7761" xr:uid="{ED63F7AA-C403-4336-8C6D-61905119D28B}"/>
    <cellStyle name="Normal 23 3 2 3 2 3 2 3 4" xfId="4476" xr:uid="{68E66AAB-0EB5-4CE1-9F1A-261C5BB76118}"/>
    <cellStyle name="Normal 23 3 2 3 2 3 2 3 4 2" xfId="9044" xr:uid="{69CAF3AF-E81C-4B66-8F56-27DE16925822}"/>
    <cellStyle name="Normal 23 3 2 3 2 3 2 3 5" xfId="6752" xr:uid="{22F19FA5-4AEC-42FF-A9DC-BF70615599F2}"/>
    <cellStyle name="Normal 23 3 2 3 2 3 2 4" xfId="1947" xr:uid="{14254D6F-4DA9-4845-9C2D-737B717B4213}"/>
    <cellStyle name="Normal 23 3 2 3 2 3 2 4 2" xfId="2485" xr:uid="{1C5426B7-4846-45E7-9F59-3D9209544468}"/>
    <cellStyle name="Normal 23 3 2 3 2 3 2 4 2 2" xfId="3496" xr:uid="{B59637F3-05BA-4EFC-9694-32AFDC6693D9}"/>
    <cellStyle name="Normal 23 3 2 3 2 3 2 4 2 2 2" xfId="5920" xr:uid="{F401F436-CDAA-4EA7-871B-786333C9AF29}"/>
    <cellStyle name="Normal 23 3 2 3 2 3 2 4 2 2 2 2" xfId="10488" xr:uid="{36DBEE51-BA02-4D7E-9DF7-C103F317E1A1}"/>
    <cellStyle name="Normal 23 3 2 3 2 3 2 4 2 2 3" xfId="8196" xr:uid="{4BED35D3-FE02-4D19-9C12-438F41E75B86}"/>
    <cellStyle name="Normal 23 3 2 3 2 3 2 4 2 3" xfId="4911" xr:uid="{6BF52A37-4CCD-4BDC-AB28-2B8FB8107211}"/>
    <cellStyle name="Normal 23 3 2 3 2 3 2 4 2 3 2" xfId="9479" xr:uid="{1E77EAA3-BF47-43DA-95C9-9BBF1D811DB7}"/>
    <cellStyle name="Normal 23 3 2 3 2 3 2 4 2 4" xfId="7187" xr:uid="{9A2B7D71-67AC-4B94-95F5-A023EFF6BB24}"/>
    <cellStyle name="Normal 23 3 2 3 2 3 2 4 3" xfId="3068" xr:uid="{44B12F08-4F9C-4016-A877-A94D0666079F}"/>
    <cellStyle name="Normal 23 3 2 3 2 3 2 4 3 2" xfId="5492" xr:uid="{948A2D6E-9531-49DB-9DB7-B240334CCA0C}"/>
    <cellStyle name="Normal 23 3 2 3 2 3 2 4 3 2 2" xfId="10060" xr:uid="{FB07A381-38DF-47CC-A0AF-A645B6257BF9}"/>
    <cellStyle name="Normal 23 3 2 3 2 3 2 4 3 3" xfId="7768" xr:uid="{09BEB558-68D6-4221-ACCF-111A0FDCDE38}"/>
    <cellStyle name="Normal 23 3 2 3 2 3 2 4 4" xfId="4483" xr:uid="{1AAE5328-1A21-4745-9745-510A3796F3E0}"/>
    <cellStyle name="Normal 23 3 2 3 2 3 2 4 4 2" xfId="9051" xr:uid="{EB017274-05A8-4AC6-9416-40B23F95CCAE}"/>
    <cellStyle name="Normal 23 3 2 3 2 3 2 4 5" xfId="6759" xr:uid="{61B45E95-B3EB-41FE-B3C7-F399EBCF7CBC}"/>
    <cellStyle name="Normal 23 3 2 3 2 3 2 5" xfId="1958" xr:uid="{11937B61-769B-45EA-A70B-A78FDB280AEC}"/>
    <cellStyle name="Normal 23 3 2 3 2 3 2 5 2" xfId="1961" xr:uid="{8DC9DC28-4B71-4051-A8F3-5A118BBF4B26}"/>
    <cellStyle name="Normal 23 3 2 3 2 3 2 5 2 2" xfId="2498" xr:uid="{6291A7A8-03A2-493F-A216-E84D243A8CC8}"/>
    <cellStyle name="Normal 23 3 2 3 2 3 2 5 2 2 2" xfId="3509" xr:uid="{18D9755B-EECF-4ECA-B95D-FA3AF6D08D62}"/>
    <cellStyle name="Normal 23 3 2 3 2 3 2 5 2 2 2 2" xfId="5933" xr:uid="{71E5394A-1810-421D-AE77-AA4FC895619A}"/>
    <cellStyle name="Normal 23 3 2 3 2 3 2 5 2 2 2 2 2" xfId="10501" xr:uid="{2574A722-1D6E-4CFA-BE1D-72848534996D}"/>
    <cellStyle name="Normal 23 3 2 3 2 3 2 5 2 2 2 3" xfId="8209" xr:uid="{1FDCF087-82C3-4DDD-8479-6FB9D16CFDAE}"/>
    <cellStyle name="Normal 23 3 2 3 2 3 2 5 2 2 3" xfId="4924" xr:uid="{1D7891B8-4FB7-4BC9-A57A-C336DB21545E}"/>
    <cellStyle name="Normal 23 3 2 3 2 3 2 5 2 2 3 2" xfId="9492" xr:uid="{E45B8153-C6DC-43BD-A205-26F77EF4887E}"/>
    <cellStyle name="Normal 23 3 2 3 2 3 2 5 2 2 4" xfId="7200" xr:uid="{D1BE3269-14E7-40C0-9C0E-F70B281CA877}"/>
    <cellStyle name="Normal 23 3 2 3 2 3 2 5 2 3" xfId="2659" xr:uid="{71EF4916-0948-4390-B43C-BEB13226896D}"/>
    <cellStyle name="Normal 23 3 2 3 2 3 2 5 2 3 2" xfId="3964" xr:uid="{2E330659-6034-41FA-8066-AB243EF09C58}"/>
    <cellStyle name="Normal 23 3 2 3 2 3 2 5 2 3 2 2" xfId="3996" xr:uid="{BE1CBD28-0D34-4624-9C36-C34ECE20DEF7}"/>
    <cellStyle name="Normal 23 3 2 3 2 3 2 5 2 3 2 2 2" xfId="6290" xr:uid="{327B8455-5D23-4E0B-BA39-3CAA44A5C26A}"/>
    <cellStyle name="Normal 23 3 2 3 2 3 2 5 2 3 2 2 2 2" xfId="10858" xr:uid="{84B26EB9-0A88-4840-BCD8-5EB66BCD30B6}"/>
    <cellStyle name="Normal 23 3 2 3 2 3 2 5 2 3 2 2 3" xfId="6302" xr:uid="{C326AA8B-8AF2-4E63-B9C8-8F01E6CDFD80}"/>
    <cellStyle name="Normal 23 3 2 3 2 3 2 5 2 3 2 2 3 2" xfId="6314" xr:uid="{74479AE8-D65D-452F-B0D9-082C0552D54E}"/>
    <cellStyle name="Normal 23 3 2 3 2 3 2 5 2 3 2 2 3 2 2" xfId="6321" xr:uid="{61F840BE-39FD-45C0-BE44-60EA97043659}"/>
    <cellStyle name="Normal 23 3 2 3 2 3 2 5 2 3 2 2 3 2 2 2" xfId="6340" xr:uid="{0EA24498-F061-4644-8B3B-5A2D3AFDB406}"/>
    <cellStyle name="Normal 23 3 2 3 2 3 2 5 2 3 2 2 3 2 2 2 2" xfId="6342" xr:uid="{6FC2357E-2C1A-4112-8EFE-2EBA9A1C0190}"/>
    <cellStyle name="Normal 23 3 2 3 2 3 2 5 2 3 2 2 3 2 2 2 2 2" xfId="6354" xr:uid="{CDDB3918-9B34-4749-88D3-3DDD6A7B186A}"/>
    <cellStyle name="Normal 23 3 2 3 2 3 2 5 2 3 2 2 3 2 2 2 2 2 2" xfId="6365" xr:uid="{AB4000EE-7A2D-4B7A-81A0-2AD7B923AF77}"/>
    <cellStyle name="Normal 23 3 2 3 2 3 2 5 2 3 2 2 3 2 2 2 2 2 2 2" xfId="6367" xr:uid="{5D88C99E-8332-4A87-BA3C-BB271D93D89C}"/>
    <cellStyle name="Normal 23 3 2 3 2 3 2 5 2 3 2 2 3 2 2 2 2 2 2 2 2" xfId="6373" xr:uid="{893F59E1-6B3C-45D6-86F4-D78A2F46A112}"/>
    <cellStyle name="Normal 23 3 2 3 2 3 2 5 2 3 2 2 3 2 2 2 2 2 2 2 2 2" xfId="10940" xr:uid="{F328B41F-F2A4-4863-A6D4-40BF92D757FE}"/>
    <cellStyle name="Normal 23 3 2 3 2 3 2 5 2 3 2 2 3 2 2 2 2 2 2 2 3" xfId="10934" xr:uid="{0C05B904-A9BD-4C33-9B05-FFAB1796D728}"/>
    <cellStyle name="Normal 23 3 2 3 2 3 2 5 2 3 2 2 3 2 2 2 2 2 2 3" xfId="10932" xr:uid="{C5C0056B-7100-4465-A279-6D905ABEDA6D}"/>
    <cellStyle name="Normal 23 3 2 3 2 3 2 5 2 3 2 2 3 2 2 2 2 2 3" xfId="10921" xr:uid="{93A6CDA6-E063-4A8A-8B45-DF9703AAD8C3}"/>
    <cellStyle name="Normal 23 3 2 3 2 3 2 5 2 3 2 2 3 2 2 2 2 3" xfId="10909" xr:uid="{8CF3B00E-E376-4F49-B52E-B6F743627AC9}"/>
    <cellStyle name="Normal 23 3 2 3 2 3 2 5 2 3 2 2 3 2 2 2 3" xfId="10907" xr:uid="{56D8D51D-5B5E-41FC-B2D6-33B29B5217E2}"/>
    <cellStyle name="Normal 23 3 2 3 2 3 2 5 2 3 2 2 3 2 2 3" xfId="10889" xr:uid="{60385411-498A-44D2-B0CF-7BFF17693016}"/>
    <cellStyle name="Normal 23 3 2 3 2 3 2 5 2 3 2 2 3 2 3" xfId="10882" xr:uid="{F566D99B-7676-4A6F-B721-01B85FDDBC47}"/>
    <cellStyle name="Normal 23 3 2 3 2 3 2 5 2 3 2 2 3 3" xfId="10870" xr:uid="{447B608E-3C6D-4A3C-8331-8E81B6BEB3EE}"/>
    <cellStyle name="Normal 23 3 2 3 2 3 2 5 2 3 2 2 4" xfId="8566" xr:uid="{7075C614-A05C-42CF-90D1-B00BDF8F045B}"/>
    <cellStyle name="Normal 23 3 2 3 2 3 2 5 2 3 2 3" xfId="6258" xr:uid="{F8808C98-2D45-41F8-ADBA-E4CAC3A52B2D}"/>
    <cellStyle name="Normal 23 3 2 3 2 3 2 5 2 3 2 3 2" xfId="10826" xr:uid="{52790877-675B-4870-83D8-20552848F66C}"/>
    <cellStyle name="Normal 23 3 2 3 2 3 2 5 2 3 2 4" xfId="8534" xr:uid="{771659EC-61AF-42CB-BFB0-8E139BCF1ECB}"/>
    <cellStyle name="Normal 23 3 2 3 2 3 2 5 2 3 3" xfId="5085" xr:uid="{AC658AC6-51B6-42CB-8936-7B9E8806378F}"/>
    <cellStyle name="Normal 23 3 2 3 2 3 2 5 2 3 3 2" xfId="9653" xr:uid="{EB4313DD-78E8-4420-BDFC-ABA0709B0454}"/>
    <cellStyle name="Normal 23 3 2 3 2 3 2 5 2 3 4" xfId="7361" xr:uid="{F8935B9B-A904-4DDE-87F1-67CBDE14D741}"/>
    <cellStyle name="Normal 23 3 2 3 2 3 2 5 2 4" xfId="3081" xr:uid="{F42B027B-5D8A-4EAD-89A6-5095E7E86457}"/>
    <cellStyle name="Normal 23 3 2 3 2 3 2 5 2 4 2" xfId="5505" xr:uid="{7368FA13-E7BF-4FAC-A513-0C85FB426A61}"/>
    <cellStyle name="Normal 23 3 2 3 2 3 2 5 2 4 2 2" xfId="10073" xr:uid="{A72F5555-EB30-4CFB-ADE7-A20413FFF71B}"/>
    <cellStyle name="Normal 23 3 2 3 2 3 2 5 2 4 3" xfId="7781" xr:uid="{C61FD49D-CF54-41D3-8249-129BE6EC4B05}"/>
    <cellStyle name="Normal 23 3 2 3 2 3 2 5 2 5" xfId="4496" xr:uid="{AAAB6A93-64D7-4959-808F-4678D5841DF7}"/>
    <cellStyle name="Normal 23 3 2 3 2 3 2 5 2 5 2" xfId="9064" xr:uid="{ED540DC2-05B6-4D38-90B1-DBAE539B6F4D}"/>
    <cellStyle name="Normal 23 3 2 3 2 3 2 5 2 6" xfId="6772" xr:uid="{891D7430-02B8-430B-8DCA-9DFBC282040A}"/>
    <cellStyle name="Normal 23 3 2 3 2 3 2 5 3" xfId="2495" xr:uid="{B96BCD14-A002-430E-B382-A0897EF48B32}"/>
    <cellStyle name="Normal 23 3 2 3 2 3 2 5 3 2" xfId="3506" xr:uid="{AE10EF79-99A2-4307-A23B-B64D987FD803}"/>
    <cellStyle name="Normal 23 3 2 3 2 3 2 5 3 2 2" xfId="5930" xr:uid="{05F989DF-709C-4FE3-945A-F582A1D66900}"/>
    <cellStyle name="Normal 23 3 2 3 2 3 2 5 3 2 2 2" xfId="10498" xr:uid="{EB97B109-6887-4E20-8408-AD2934D61155}"/>
    <cellStyle name="Normal 23 3 2 3 2 3 2 5 3 2 3" xfId="8206" xr:uid="{D5152A14-D776-4B21-B8F1-E24AC18EE4BC}"/>
    <cellStyle name="Normal 23 3 2 3 2 3 2 5 3 3" xfId="4921" xr:uid="{60012D5A-32B3-4B3E-9595-29037000AE66}"/>
    <cellStyle name="Normal 23 3 2 3 2 3 2 5 3 3 2" xfId="9489" xr:uid="{9E66468F-338E-421A-AD78-D3FB29D0B3AB}"/>
    <cellStyle name="Normal 23 3 2 3 2 3 2 5 3 4" xfId="7197" xr:uid="{8BA1BC19-106A-4195-8DF7-03CABCD1BE3F}"/>
    <cellStyle name="Normal 23 3 2 3 2 3 2 5 4" xfId="3078" xr:uid="{C7440CED-3DC4-4CEF-83E8-9FC1EEF525C2}"/>
    <cellStyle name="Normal 23 3 2 3 2 3 2 5 4 2" xfId="5502" xr:uid="{7D4B4E41-F81B-4926-847D-05A16D71BBCB}"/>
    <cellStyle name="Normal 23 3 2 3 2 3 2 5 4 2 2" xfId="10070" xr:uid="{45C36378-9481-4572-A31F-CBE23AD90615}"/>
    <cellStyle name="Normal 23 3 2 3 2 3 2 5 4 3" xfId="7778" xr:uid="{EC3CA0CD-CD18-4F4D-B5CD-F9492E513BE3}"/>
    <cellStyle name="Normal 23 3 2 3 2 3 2 5 5" xfId="4493" xr:uid="{D865D62E-3775-4463-832D-2E34E2F45D00}"/>
    <cellStyle name="Normal 23 3 2 3 2 3 2 5 5 2" xfId="9061" xr:uid="{0175E7FE-C188-48D8-8491-64081F31E186}"/>
    <cellStyle name="Normal 23 3 2 3 2 3 2 5 6" xfId="6769" xr:uid="{AF679D05-DF77-46D7-8984-632D86455648}"/>
    <cellStyle name="Normal 23 3 2 3 2 3 2 6" xfId="2278" xr:uid="{A5873B69-ECC6-4514-8446-2A831C248585}"/>
    <cellStyle name="Normal 23 3 2 3 2 3 2 6 2" xfId="3289" xr:uid="{F74C42EC-970D-4C9F-AFE4-A2FC47C5ABB5}"/>
    <cellStyle name="Normal 23 3 2 3 2 3 2 6 2 2" xfId="5713" xr:uid="{DBD422C1-1E81-4560-8946-847CB5E4EF46}"/>
    <cellStyle name="Normal 23 3 2 3 2 3 2 6 2 2 2" xfId="10281" xr:uid="{EFE5FBEF-008D-4B73-A7B6-984CAB5D0098}"/>
    <cellStyle name="Normal 23 3 2 3 2 3 2 6 2 3" xfId="7989" xr:uid="{D1E5C254-94B0-4C77-8ECB-4F9C08265CD0}"/>
    <cellStyle name="Normal 23 3 2 3 2 3 2 6 3" xfId="4704" xr:uid="{43CB0F8E-9D19-4397-A453-86F701F54985}"/>
    <cellStyle name="Normal 23 3 2 3 2 3 2 6 3 2" xfId="9272" xr:uid="{777969EF-A881-4833-AE8F-1517C8250DBA}"/>
    <cellStyle name="Normal 23 3 2 3 2 3 2 6 4" xfId="6980" xr:uid="{CA6620E6-362E-49D3-AF75-83B46EDF7129}"/>
    <cellStyle name="Normal 23 3 2 3 2 3 2 7" xfId="2861" xr:uid="{496DBDFB-189E-436C-B40D-BD2F4D688D40}"/>
    <cellStyle name="Normal 23 3 2 3 2 3 2 7 2" xfId="5285" xr:uid="{4C10B166-B3E6-44E6-8F8B-9ADDF0815A63}"/>
    <cellStyle name="Normal 23 3 2 3 2 3 2 7 2 2" xfId="9853" xr:uid="{9E039261-4F06-4568-8D51-8BB2CF828A92}"/>
    <cellStyle name="Normal 23 3 2 3 2 3 2 7 3" xfId="7561" xr:uid="{8929EDB9-70FA-4F96-B525-0BABF3AB9094}"/>
    <cellStyle name="Normal 23 3 2 3 2 3 2 8" xfId="4276" xr:uid="{0BB38633-030A-496D-90FB-38DB8294C5FC}"/>
    <cellStyle name="Normal 23 3 2 3 2 3 2 8 2" xfId="8844" xr:uid="{C6980A33-2ACB-4211-8BCE-ED778281D6B5}"/>
    <cellStyle name="Normal 23 3 2 3 2 3 2 9" xfId="6552" xr:uid="{A70B3520-698B-4C85-A994-57FEE03ED8DC}"/>
    <cellStyle name="Normal 23 3 2 3 2 3 3" xfId="1907" xr:uid="{22A19B6C-AFEC-4529-B359-8BB81D76489A}"/>
    <cellStyle name="Normal 23 3 2 3 2 3 3 2" xfId="2449" xr:uid="{ED47D0A4-56FC-4D2C-B0C5-8FBF644EB499}"/>
    <cellStyle name="Normal 23 3 2 3 2 3 3 2 2" xfId="3460" xr:uid="{3B08C1FC-5C26-4C2D-A1C0-F33A5F92DB42}"/>
    <cellStyle name="Normal 23 3 2 3 2 3 3 2 2 2" xfId="5884" xr:uid="{04C706BC-405D-4FE4-BF51-F2ED83755185}"/>
    <cellStyle name="Normal 23 3 2 3 2 3 3 2 2 2 2" xfId="10452" xr:uid="{54FF1CF1-0280-46EC-9BAB-929F665BDAB4}"/>
    <cellStyle name="Normal 23 3 2 3 2 3 3 2 2 3" xfId="8160" xr:uid="{99430250-8898-48DD-8FC8-047D89AFEDDC}"/>
    <cellStyle name="Normal 23 3 2 3 2 3 3 2 3" xfId="4875" xr:uid="{2FC1CB9B-CB94-4E22-8A18-7054B9D92AE5}"/>
    <cellStyle name="Normal 23 3 2 3 2 3 3 2 3 2" xfId="9443" xr:uid="{29722827-95D1-4F36-8BB9-2831242E2F1D}"/>
    <cellStyle name="Normal 23 3 2 3 2 3 3 2 4" xfId="7151" xr:uid="{F977D5C6-4D51-442E-B22F-A81DECF4CBCA}"/>
    <cellStyle name="Normal 23 3 2 3 2 3 3 3" xfId="3032" xr:uid="{4F86CE6E-E722-41E9-A59A-C07FDDF1CB3A}"/>
    <cellStyle name="Normal 23 3 2 3 2 3 3 3 2" xfId="5456" xr:uid="{D3AF1793-2236-45EE-9DAD-26C814C45E11}"/>
    <cellStyle name="Normal 23 3 2 3 2 3 3 3 2 2" xfId="10024" xr:uid="{25AE0C8B-B00E-4624-9538-BB3278ADE22E}"/>
    <cellStyle name="Normal 23 3 2 3 2 3 3 3 3" xfId="7732" xr:uid="{1FD374BA-B266-4454-A00D-00C2F2599AAF}"/>
    <cellStyle name="Normal 23 3 2 3 2 3 3 4" xfId="4447" xr:uid="{990280C1-AC3D-43A7-BE6E-EB9370E747D5}"/>
    <cellStyle name="Normal 23 3 2 3 2 3 3 4 2" xfId="9015" xr:uid="{50EE01AF-AC59-4144-B302-F6075AF486BC}"/>
    <cellStyle name="Normal 23 3 2 3 2 3 3 5" xfId="6723" xr:uid="{58FC9EE3-EB2D-485C-BD03-E86CDC1E1628}"/>
    <cellStyle name="Normal 23 3 2 3 2 3 4" xfId="2262" xr:uid="{DCAA5CEE-29EE-40BC-B601-ABA9854A867F}"/>
    <cellStyle name="Normal 23 3 2 3 2 3 4 2" xfId="3273" xr:uid="{E14D5A12-6205-43A0-8A12-44C1A93C6BA3}"/>
    <cellStyle name="Normal 23 3 2 3 2 3 4 2 2" xfId="5697" xr:uid="{43D811EF-9F39-4763-B567-133C2ECCE6AE}"/>
    <cellStyle name="Normal 23 3 2 3 2 3 4 2 2 2" xfId="10265" xr:uid="{F0B6393A-99CA-48F4-B6FA-C387042D1C43}"/>
    <cellStyle name="Normal 23 3 2 3 2 3 4 2 3" xfId="7973" xr:uid="{571801A9-6898-4B44-8415-C091648C6608}"/>
    <cellStyle name="Normal 23 3 2 3 2 3 4 3" xfId="4688" xr:uid="{9A38167B-1BAC-4EA6-AAF3-E2172D3E5200}"/>
    <cellStyle name="Normal 23 3 2 3 2 3 4 3 2" xfId="9256" xr:uid="{CB0BD30E-01B5-428C-B7E7-F8739DCB3334}"/>
    <cellStyle name="Normal 23 3 2 3 2 3 4 4" xfId="6964" xr:uid="{3FCBCE40-5765-4AD8-A339-7B7AE88DA82D}"/>
    <cellStyle name="Normal 23 3 2 3 2 3 5" xfId="2845" xr:uid="{BDF50F41-D026-473B-9E6A-83D842465B85}"/>
    <cellStyle name="Normal 23 3 2 3 2 3 5 2" xfId="5269" xr:uid="{FFF94D3E-2FDB-40BA-87C8-7553279818AB}"/>
    <cellStyle name="Normal 23 3 2 3 2 3 5 2 2" xfId="9837" xr:uid="{9D2F09AF-52CB-446A-ABFA-CF60F3157E08}"/>
    <cellStyle name="Normal 23 3 2 3 2 3 5 3" xfId="7545" xr:uid="{FFF7B814-8309-4EA1-B6C5-C1CFA0162090}"/>
    <cellStyle name="Normal 23 3 2 3 2 3 6" xfId="4260" xr:uid="{EC54F93F-10E2-444B-9DFC-56EBBB378C3E}"/>
    <cellStyle name="Normal 23 3 2 3 2 3 6 2" xfId="8828" xr:uid="{AA9E04BD-8E46-4CCC-891E-7F1FE8E07886}"/>
    <cellStyle name="Normal 23 3 2 3 2 3 7" xfId="6536" xr:uid="{D31E4DDB-B369-47F3-BB40-6EC51984D201}"/>
    <cellStyle name="Normal 23 3 2 3 2 4" xfId="1901" xr:uid="{E3CADC19-B68D-4E8A-A44B-5013453EFA5D}"/>
    <cellStyle name="Normal 23 3 2 3 2 4 2" xfId="2443" xr:uid="{853ED545-B209-4FE4-8DD9-4AE30392B50D}"/>
    <cellStyle name="Normal 23 3 2 3 2 4 2 2" xfId="3454" xr:uid="{AE63E646-9568-4A13-94C4-4DBDFD4BE324}"/>
    <cellStyle name="Normal 23 3 2 3 2 4 2 2 2" xfId="5878" xr:uid="{8C8AB51C-B605-4E98-96B7-5ACD624EB0BA}"/>
    <cellStyle name="Normal 23 3 2 3 2 4 2 2 2 2" xfId="10446" xr:uid="{F1E24745-1990-4A1D-BA31-1354575CC16C}"/>
    <cellStyle name="Normal 23 3 2 3 2 4 2 2 3" xfId="8154" xr:uid="{15FD5932-F4BD-4E21-B763-DC4AAFB0A9B7}"/>
    <cellStyle name="Normal 23 3 2 3 2 4 2 3" xfId="4869" xr:uid="{5EBA32C3-DF38-4D8A-91AC-74674DEC7D16}"/>
    <cellStyle name="Normal 23 3 2 3 2 4 2 3 2" xfId="9437" xr:uid="{CBDAF05F-873D-461B-8CEA-DE2140C95ABA}"/>
    <cellStyle name="Normal 23 3 2 3 2 4 2 4" xfId="7145" xr:uid="{E55A0D9E-C1D0-4766-A56C-B10D2426EC38}"/>
    <cellStyle name="Normal 23 3 2 3 2 4 3" xfId="3026" xr:uid="{CE51F7D1-B808-4A74-81B6-B10C9B1C729A}"/>
    <cellStyle name="Normal 23 3 2 3 2 4 3 2" xfId="5450" xr:uid="{85E600C4-37A1-46BB-B476-7BF81B96C1CA}"/>
    <cellStyle name="Normal 23 3 2 3 2 4 3 2 2" xfId="10018" xr:uid="{2EA2EF22-1F08-4D15-846E-3436819BCFBE}"/>
    <cellStyle name="Normal 23 3 2 3 2 4 3 3" xfId="7726" xr:uid="{11978CA4-41C7-4722-B6F1-BEE417AE6C83}"/>
    <cellStyle name="Normal 23 3 2 3 2 4 4" xfId="4441" xr:uid="{687FFB10-F97C-4229-959E-C4A1A785BDB3}"/>
    <cellStyle name="Normal 23 3 2 3 2 4 4 2" xfId="9009" xr:uid="{59F3FE5B-2F80-4F76-88FB-AE6FF667A697}"/>
    <cellStyle name="Normal 23 3 2 3 2 4 5" xfId="6717" xr:uid="{73ECFC82-2F8E-4513-A701-7AE48D931454}"/>
    <cellStyle name="Normal 23 3 2 3 2 5" xfId="2256" xr:uid="{9CC0B9CD-5339-4CBD-BCA6-CA7DF65DE771}"/>
    <cellStyle name="Normal 23 3 2 3 2 5 2" xfId="3267" xr:uid="{7A8D9164-3F70-4FC2-A3DF-F8E63B67A9D9}"/>
    <cellStyle name="Normal 23 3 2 3 2 5 2 2" xfId="5691" xr:uid="{4E209608-B846-4B75-9C47-23509CB05B69}"/>
    <cellStyle name="Normal 23 3 2 3 2 5 2 2 2" xfId="10259" xr:uid="{24D5B35A-2B8A-4604-8F22-5E433D45DC6B}"/>
    <cellStyle name="Normal 23 3 2 3 2 5 2 3" xfId="7967" xr:uid="{33FF843B-8BAC-44A9-AEF8-37F8875582D9}"/>
    <cellStyle name="Normal 23 3 2 3 2 5 3" xfId="4682" xr:uid="{F6F99B30-2DA9-45A5-B580-01B541966F05}"/>
    <cellStyle name="Normal 23 3 2 3 2 5 3 2" xfId="9250" xr:uid="{D2CCE060-7EE6-4237-9A2B-E5E9ACEA6BF5}"/>
    <cellStyle name="Normal 23 3 2 3 2 5 4" xfId="6958" xr:uid="{CA4B6483-AD88-47F9-9FFF-7B09B9E03998}"/>
    <cellStyle name="Normal 23 3 2 3 2 6" xfId="2839" xr:uid="{B00BE5CD-02B5-434F-BE62-801BED912323}"/>
    <cellStyle name="Normal 23 3 2 3 2 6 2" xfId="5263" xr:uid="{58467BFF-8814-47CD-9BBC-4E910E3489B9}"/>
    <cellStyle name="Normal 23 3 2 3 2 6 2 2" xfId="9831" xr:uid="{EA6B2EFC-C7B2-4DA2-8948-CA4544271A58}"/>
    <cellStyle name="Normal 23 3 2 3 2 6 3" xfId="7539" xr:uid="{636A7318-5241-4F69-B907-1870AB2550D7}"/>
    <cellStyle name="Normal 23 3 2 3 2 7" xfId="4254" xr:uid="{2B17617C-EBB6-4FD3-8BF9-1B149FBE49F7}"/>
    <cellStyle name="Normal 23 3 2 3 2 7 2" xfId="8822" xr:uid="{70B1239F-66D2-40AD-A66D-E943A3CE1464}"/>
    <cellStyle name="Normal 23 3 2 3 2 8" xfId="6530" xr:uid="{3999B01E-FCD9-46D9-9FD6-08E6F20A7E73}"/>
    <cellStyle name="Normal 23 3 2 3 3" xfId="1891" xr:uid="{364D6C62-8569-4C41-AA94-EB749CEE30D1}"/>
    <cellStyle name="Normal 23 3 2 3 3 2" xfId="2433" xr:uid="{C99BBE79-E4EB-4186-803D-E54DA18E34B6}"/>
    <cellStyle name="Normal 23 3 2 3 3 2 2" xfId="3444" xr:uid="{E0208849-A54F-4BE5-B466-124046F3C257}"/>
    <cellStyle name="Normal 23 3 2 3 3 2 2 2" xfId="5868" xr:uid="{3B61561B-E6D0-4ED9-B6CA-7D2DDC23ED59}"/>
    <cellStyle name="Normal 23 3 2 3 3 2 2 2 2" xfId="10436" xr:uid="{DEEC9AA4-CF8D-4B02-B4E6-0BEF82183060}"/>
    <cellStyle name="Normal 23 3 2 3 3 2 2 3" xfId="8144" xr:uid="{85C4E5CD-C11B-4263-9201-840DD35AF761}"/>
    <cellStyle name="Normal 23 3 2 3 3 2 3" xfId="4859" xr:uid="{0F239C5F-D319-4CE3-ADA8-EEFAF66337FA}"/>
    <cellStyle name="Normal 23 3 2 3 3 2 3 2" xfId="9427" xr:uid="{D594B5ED-D592-492F-BA3F-460AF6662F5C}"/>
    <cellStyle name="Normal 23 3 2 3 3 2 4" xfId="7135" xr:uid="{FBFB1326-D5C9-41CD-9AE5-E334BA5924B9}"/>
    <cellStyle name="Normal 23 3 2 3 3 3" xfId="3016" xr:uid="{2771E8BD-B9A8-4BA2-B570-8807A6441B8E}"/>
    <cellStyle name="Normal 23 3 2 3 3 3 2" xfId="5440" xr:uid="{14089AF8-08E4-4668-AF58-429F842FE606}"/>
    <cellStyle name="Normal 23 3 2 3 3 3 2 2" xfId="10008" xr:uid="{E3745485-CFF8-402E-AFD8-E59A0DC19A76}"/>
    <cellStyle name="Normal 23 3 2 3 3 3 3" xfId="7716" xr:uid="{DAF0B8E8-3BC2-49D2-9C5E-896ED5937903}"/>
    <cellStyle name="Normal 23 3 2 3 3 4" xfId="4431" xr:uid="{44177AC9-07A8-4AE3-ABA3-27031444996A}"/>
    <cellStyle name="Normal 23 3 2 3 3 4 2" xfId="8999" xr:uid="{0C0DC4C4-54DF-49F5-AE68-15575BBE5BDA}"/>
    <cellStyle name="Normal 23 3 2 3 3 5" xfId="6707" xr:uid="{5A45B2A5-3C47-4F4D-919C-1D47923E9D1F}"/>
    <cellStyle name="Normal 23 3 2 3 4" xfId="2246" xr:uid="{7C3F9324-62E9-4A7B-92EB-13470D2D0586}"/>
    <cellStyle name="Normal 23 3 2 3 4 2" xfId="3257" xr:uid="{0E3A35C6-AA3E-4E20-BF9D-0FD9C50FE88E}"/>
    <cellStyle name="Normal 23 3 2 3 4 2 2" xfId="5681" xr:uid="{1CC676DC-2EB3-48F7-85AB-BEE17887C4A1}"/>
    <cellStyle name="Normal 23 3 2 3 4 2 2 2" xfId="10249" xr:uid="{DFFBF8DE-2F78-4467-BDA6-F7721D9BEEDD}"/>
    <cellStyle name="Normal 23 3 2 3 4 2 3" xfId="7957" xr:uid="{F4C8068C-193E-4318-8FF5-1F77DE6BCDF5}"/>
    <cellStyle name="Normal 23 3 2 3 4 3" xfId="4672" xr:uid="{AA24083D-14C0-4900-AFD5-00E48B1384E1}"/>
    <cellStyle name="Normal 23 3 2 3 4 3 2" xfId="9240" xr:uid="{095E9265-0598-463C-B5CC-55108E802CF4}"/>
    <cellStyle name="Normal 23 3 2 3 4 4" xfId="6948" xr:uid="{6FA275AA-039F-4859-A9DF-A94BD803CCD4}"/>
    <cellStyle name="Normal 23 3 2 3 5" xfId="2829" xr:uid="{CB97F5F4-3AE6-4F5D-AB3D-48836167F77A}"/>
    <cellStyle name="Normal 23 3 2 3 5 2" xfId="5253" xr:uid="{2908ABE0-F49A-48B9-83E5-E45EE96DECF1}"/>
    <cellStyle name="Normal 23 3 2 3 5 2 2" xfId="9821" xr:uid="{3C8DFD49-0129-4865-AD13-35F0A7F35737}"/>
    <cellStyle name="Normal 23 3 2 3 5 3" xfId="7529" xr:uid="{B743E673-1555-4637-BF76-83822A8DC796}"/>
    <cellStyle name="Normal 23 3 2 3 6" xfId="4244" xr:uid="{039CD160-7EA0-4DFB-8421-BF06BD5342B3}"/>
    <cellStyle name="Normal 23 3 2 3 6 2" xfId="8812" xr:uid="{347891CC-6758-4E08-9C8B-36B296F77612}"/>
    <cellStyle name="Normal 23 3 2 3 7" xfId="6520" xr:uid="{F80FDDF5-820B-467B-ACED-3883E4224227}"/>
    <cellStyle name="Normal 23 3 2 4" xfId="2243" xr:uid="{58175E40-83BC-4A8C-BF22-F0269BCFBAA1}"/>
    <cellStyle name="Normal 23 3 2 4 2" xfId="3254" xr:uid="{B0FCC07D-329A-443F-A73D-58B693DD8008}"/>
    <cellStyle name="Normal 23 3 2 4 2 2" xfId="5678" xr:uid="{01DB3E3D-A6FE-4511-BCC7-4EE0C6D8C69C}"/>
    <cellStyle name="Normal 23 3 2 4 2 2 2" xfId="10246" xr:uid="{86408990-FC57-454B-BA3A-0D699457FA97}"/>
    <cellStyle name="Normal 23 3 2 4 2 3" xfId="7954" xr:uid="{B6EFFA5F-241C-497D-8DA7-D2DCEE636F74}"/>
    <cellStyle name="Normal 23 3 2 4 3" xfId="4669" xr:uid="{6C9B976D-5BCF-4A48-9835-F0528CC4C3E3}"/>
    <cellStyle name="Normal 23 3 2 4 3 2" xfId="9237" xr:uid="{564DE9BD-55E1-418E-B4BB-75F96BC0C7A1}"/>
    <cellStyle name="Normal 23 3 2 4 4" xfId="6945" xr:uid="{B377C2D3-5A4F-4D3E-AA86-4D7E4CBFAC0B}"/>
    <cellStyle name="Normal 23 3 2 5" xfId="2826" xr:uid="{431FD530-9FFA-4760-A8C3-5A27F51E132E}"/>
    <cellStyle name="Normal 23 3 2 5 2" xfId="5250" xr:uid="{FDCCE01F-2517-4894-8FD3-56CB66317F9E}"/>
    <cellStyle name="Normal 23 3 2 5 2 2" xfId="9818" xr:uid="{E6FC4659-2B75-4D6E-B5E3-F70776BCFBB9}"/>
    <cellStyle name="Normal 23 3 2 5 3" xfId="7526" xr:uid="{FD286071-583D-4E13-9392-EB8BC7172209}"/>
    <cellStyle name="Normal 23 3 2 6" xfId="4241" xr:uid="{7FC78533-3494-41B1-8AC8-F1D1BEBB19AD}"/>
    <cellStyle name="Normal 23 3 2 6 2" xfId="8809" xr:uid="{D1DD8D9C-417C-4989-91D6-02E19D0FE70B}"/>
    <cellStyle name="Normal 23 3 2 7" xfId="6517" xr:uid="{5EC494F5-DB1F-4181-A480-597FB92BBF99}"/>
    <cellStyle name="Normal 23 3 3" xfId="1884" xr:uid="{04A806FD-B211-4167-B41C-16326B010D57}"/>
    <cellStyle name="Normal 23 3 3 2" xfId="2426" xr:uid="{1AE3202C-020F-4814-8D2E-8F39648A075B}"/>
    <cellStyle name="Normal 23 3 3 2 2" xfId="3437" xr:uid="{FD3BA9DB-14AC-42F6-A339-9A4679934ED3}"/>
    <cellStyle name="Normal 23 3 3 2 2 2" xfId="5861" xr:uid="{1E1EF3B2-0B9F-41CC-B998-2BF459300461}"/>
    <cellStyle name="Normal 23 3 3 2 2 2 2" xfId="10429" xr:uid="{42649F01-CDD3-45AD-B9F4-D00F4D896CC2}"/>
    <cellStyle name="Normal 23 3 3 2 2 3" xfId="8137" xr:uid="{E8483CE5-B9ED-4092-9522-2EF6B6D2FEC8}"/>
    <cellStyle name="Normal 23 3 3 2 3" xfId="4852" xr:uid="{E2C8639F-B2B7-4F0C-8CAC-831ABE2A461C}"/>
    <cellStyle name="Normal 23 3 3 2 3 2" xfId="9420" xr:uid="{BF0898AA-4367-433F-8533-F7E5056CCF1C}"/>
    <cellStyle name="Normal 23 3 3 2 4" xfId="7128" xr:uid="{57B1AF8B-2F3E-4187-A874-C53648CEAEF0}"/>
    <cellStyle name="Normal 23 3 3 3" xfId="3009" xr:uid="{8B4107EE-54C3-45DA-8FF4-B3A563D20F11}"/>
    <cellStyle name="Normal 23 3 3 3 2" xfId="5433" xr:uid="{F032A5FA-F907-4516-9737-8974616A8A44}"/>
    <cellStyle name="Normal 23 3 3 3 2 2" xfId="10001" xr:uid="{C02878DD-D32C-4128-8950-6D2E00E876DD}"/>
    <cellStyle name="Normal 23 3 3 3 3" xfId="7709" xr:uid="{730C024F-B566-4DFF-927A-61AE3C4B6ED1}"/>
    <cellStyle name="Normal 23 3 3 4" xfId="4424" xr:uid="{4120C66E-5C56-45D1-89E9-957DF129CE7B}"/>
    <cellStyle name="Normal 23 3 3 4 2" xfId="8992" xr:uid="{CDDD5899-BB43-43EE-9428-BC82A58C8A4F}"/>
    <cellStyle name="Normal 23 3 3 5" xfId="6700" xr:uid="{CF30117F-2CAC-40A6-8FD1-C386A1F5AE75}"/>
    <cellStyle name="Normal 23 3 4" xfId="2239" xr:uid="{D7786D46-B0A7-4289-AED9-89B717D8E832}"/>
    <cellStyle name="Normal 23 3 4 2" xfId="3250" xr:uid="{85C4311C-A628-445A-B07B-AD3100B9A02E}"/>
    <cellStyle name="Normal 23 3 4 2 2" xfId="5674" xr:uid="{5032046C-1902-4E24-BA8B-75F05CFC4F4F}"/>
    <cellStyle name="Normal 23 3 4 2 2 2" xfId="10242" xr:uid="{63132B0F-0ABB-47B3-9B11-72B6C111DBB2}"/>
    <cellStyle name="Normal 23 3 4 2 3" xfId="7950" xr:uid="{9A1EECC7-3CD0-4B13-AC42-8616215B7911}"/>
    <cellStyle name="Normal 23 3 4 3" xfId="4665" xr:uid="{F639F949-B957-4B99-9761-CCF89C2281EB}"/>
    <cellStyle name="Normal 23 3 4 3 2" xfId="9233" xr:uid="{F9C07D80-7236-4E6D-9185-6ADEC4B92FD7}"/>
    <cellStyle name="Normal 23 3 4 4" xfId="6941" xr:uid="{16B3C5BF-069D-4CAC-A8DC-6571C1A57750}"/>
    <cellStyle name="Normal 23 3 5" xfId="2822" xr:uid="{BF538A9D-0E04-4AFD-8DCF-9C2BD23106AF}"/>
    <cellStyle name="Normal 23 3 5 2" xfId="5246" xr:uid="{9629613D-C4D1-4A01-9D0F-FB9D31AA7DC8}"/>
    <cellStyle name="Normal 23 3 5 2 2" xfId="9814" xr:uid="{A7E863EC-079C-4C18-8E0B-D8FF3B429EFD}"/>
    <cellStyle name="Normal 23 3 5 3" xfId="7522" xr:uid="{46DA7FC0-8DF7-4863-B473-933534CD21F1}"/>
    <cellStyle name="Normal 23 3 6" xfId="4237" xr:uid="{4CB65774-6A90-452A-A130-C75733B3B816}"/>
    <cellStyle name="Normal 23 3 6 2" xfId="8805" xr:uid="{9403FC1B-272A-44F5-9C62-98CCE01356A4}"/>
    <cellStyle name="Normal 23 3 7" xfId="6513" xr:uid="{5B172298-6EA3-446A-8567-C1496DE56928}"/>
    <cellStyle name="Normal 23 4" xfId="1886" xr:uid="{9A8C9E8C-4F84-4088-AF0A-4B072FD010E0}"/>
    <cellStyle name="Normal 23 4 2" xfId="2428" xr:uid="{3DF03F69-AB16-4D22-9761-7455C51285EF}"/>
    <cellStyle name="Normal 23 4 2 2" xfId="3439" xr:uid="{7D201025-569C-477D-80A5-5F059F115253}"/>
    <cellStyle name="Normal 23 4 2 2 2" xfId="5863" xr:uid="{E6431D0F-4864-4721-A90E-102EB3A85FEF}"/>
    <cellStyle name="Normal 23 4 2 2 2 2" xfId="10431" xr:uid="{DBC68F86-ECB9-44EC-95A9-016336C50FA3}"/>
    <cellStyle name="Normal 23 4 2 2 3" xfId="8139" xr:uid="{42B64645-4E46-4CD8-8FAA-414FE6D25572}"/>
    <cellStyle name="Normal 23 4 2 3" xfId="4854" xr:uid="{8356C152-C70F-47E0-9F65-F0B600CC661F}"/>
    <cellStyle name="Normal 23 4 2 3 2" xfId="9422" xr:uid="{758DA41A-0873-43C3-BA6B-E67040667221}"/>
    <cellStyle name="Normal 23 4 2 4" xfId="7130" xr:uid="{7F775CC5-62E5-4DB8-8583-877182759C73}"/>
    <cellStyle name="Normal 23 4 3" xfId="3011" xr:uid="{F129D6F1-075F-4760-80B7-C128D1537713}"/>
    <cellStyle name="Normal 23 4 3 2" xfId="5435" xr:uid="{BC0309E5-7B19-402E-A660-D152EE2E11B5}"/>
    <cellStyle name="Normal 23 4 3 2 2" xfId="10003" xr:uid="{37F30A30-01D6-4B97-88BB-067850D069D1}"/>
    <cellStyle name="Normal 23 4 3 3" xfId="7711" xr:uid="{5079D509-1D5A-4FC4-AA67-5FDF7E06264C}"/>
    <cellStyle name="Normal 23 4 4" xfId="4426" xr:uid="{B83397A9-596D-4CA9-B290-E46FDDF4D62A}"/>
    <cellStyle name="Normal 23 4 4 2" xfId="8994" xr:uid="{8DDC54AB-6FD1-4212-B81B-8BF3C5682AA1}"/>
    <cellStyle name="Normal 23 4 5" xfId="6702" xr:uid="{AB4E6214-25EE-4E5F-A465-0BBB5B7DB80A}"/>
    <cellStyle name="Normal 23 5" xfId="2241" xr:uid="{F2E3CA84-1ECA-4752-9DC2-F83234CE6E68}"/>
    <cellStyle name="Normal 23 5 2" xfId="3252" xr:uid="{F8F411A1-CC1B-410A-8169-1EF71519952E}"/>
    <cellStyle name="Normal 23 5 2 2" xfId="5676" xr:uid="{CC9AC3D1-B4D8-402C-BAEF-ECEB79CBDD61}"/>
    <cellStyle name="Normal 23 5 2 2 2" xfId="10244" xr:uid="{431AFDDB-E555-4504-AE69-DFE8469C4601}"/>
    <cellStyle name="Normal 23 5 2 3" xfId="7952" xr:uid="{AF462637-15C5-44DE-B6A0-F2FF8C494F11}"/>
    <cellStyle name="Normal 23 5 3" xfId="4667" xr:uid="{8839F15B-2AC7-45AC-8C32-9B7771E6D0A7}"/>
    <cellStyle name="Normal 23 5 3 2" xfId="9235" xr:uid="{14FE2BAF-375D-4863-B967-E934A6BB4DE6}"/>
    <cellStyle name="Normal 23 5 4" xfId="6943" xr:uid="{1B879FEC-AAFE-4328-A9B9-660FF1976567}"/>
    <cellStyle name="Normal 23 6" xfId="2824" xr:uid="{8711A93A-88B1-4BF1-9F40-9A30AA8E9F88}"/>
    <cellStyle name="Normal 23 6 2" xfId="5248" xr:uid="{B4C3E81A-E4A1-4555-90A8-EE361D24DBC9}"/>
    <cellStyle name="Normal 23 6 2 2" xfId="9816" xr:uid="{2CE2576B-D83C-4A03-B04C-2CAAB9882311}"/>
    <cellStyle name="Normal 23 6 3" xfId="7524" xr:uid="{63818CC4-91EF-48F0-B036-44079177BDED}"/>
    <cellStyle name="Normal 23 7" xfId="4239" xr:uid="{DF10CBD7-04A3-40F6-8D4A-C546AF691189}"/>
    <cellStyle name="Normal 23 7 2" xfId="8807" xr:uid="{A5529230-A0D8-4EBF-8747-D5515D9D3A33}"/>
    <cellStyle name="Normal 23 8" xfId="6515" xr:uid="{D4886E2D-C981-48AB-958E-B834BBE14875}"/>
    <cellStyle name="Normal 23 9" xfId="1596" xr:uid="{54DE2A6D-DBC2-457B-A499-03C8340DC060}"/>
    <cellStyle name="Normal 24" xfId="942" xr:uid="{00000000-0005-0000-0000-00006D030000}"/>
    <cellStyle name="Normal 24 2" xfId="1609" xr:uid="{B11FEC3C-CEB2-4ABD-ACA2-0A0D2D88F508}"/>
    <cellStyle name="Normal 24 2 2" xfId="1899" xr:uid="{51290413-B34E-4E49-884D-CE6187F02BD6}"/>
    <cellStyle name="Normal 24 2 2 2" xfId="2441" xr:uid="{42FD6E4E-E72C-486E-A328-F4CDAC4A2573}"/>
    <cellStyle name="Normal 24 2 2 2 2" xfId="3452" xr:uid="{A36D9B32-B435-4C0D-907B-F3DF388A41B6}"/>
    <cellStyle name="Normal 24 2 2 2 2 2" xfId="5876" xr:uid="{F164B038-0109-4D1D-AED9-0F9BB1DC0102}"/>
    <cellStyle name="Normal 24 2 2 2 2 2 2" xfId="10444" xr:uid="{5D869C13-885A-49C4-B2C2-CF77987245BE}"/>
    <cellStyle name="Normal 24 2 2 2 2 3" xfId="8152" xr:uid="{21AB7C1F-DCBE-4F82-A593-29AEFBB76D81}"/>
    <cellStyle name="Normal 24 2 2 2 3" xfId="4867" xr:uid="{CDA4CA27-C862-4454-9CD6-DA0F98F229CB}"/>
    <cellStyle name="Normal 24 2 2 2 3 2" xfId="9435" xr:uid="{877C6B00-AB54-475F-ABF5-01595AE59283}"/>
    <cellStyle name="Normal 24 2 2 2 4" xfId="7143" xr:uid="{AAE03DBC-2917-4671-98F2-E9AD88AA4966}"/>
    <cellStyle name="Normal 24 2 2 3" xfId="3024" xr:uid="{CF2B6320-A678-4145-84F5-19B5DFC6FCAA}"/>
    <cellStyle name="Normal 24 2 2 3 2" xfId="5448" xr:uid="{0BAE4274-A74B-4664-8CE0-8DEE2A916DBD}"/>
    <cellStyle name="Normal 24 2 2 3 2 2" xfId="10016" xr:uid="{2F40C55E-E32A-480C-BC90-8E4D3648DA52}"/>
    <cellStyle name="Normal 24 2 2 3 3" xfId="7724" xr:uid="{6ACEF435-E8F1-4AE8-92C7-0E7A073EF9A2}"/>
    <cellStyle name="Normal 24 2 2 4" xfId="4439" xr:uid="{156220C9-86C0-40FC-9B28-90FBE5452B97}"/>
    <cellStyle name="Normal 24 2 2 4 2" xfId="9007" xr:uid="{50D4B8D4-39C5-4A36-9227-5890BE0C0222}"/>
    <cellStyle name="Normal 24 2 2 5" xfId="6715" xr:uid="{9C331766-F602-4928-BC84-540052AA71DB}"/>
    <cellStyle name="Normal 24 2 3" xfId="2254" xr:uid="{BA224F40-B7C4-48DC-8AD4-F72D88A40C9D}"/>
    <cellStyle name="Normal 24 2 3 2" xfId="3265" xr:uid="{CBFAF641-37BF-4125-B12B-2D525AEC594F}"/>
    <cellStyle name="Normal 24 2 3 2 2" xfId="5689" xr:uid="{614A5C5F-9D1A-494D-B13B-7CD375D69661}"/>
    <cellStyle name="Normal 24 2 3 2 2 2" xfId="10257" xr:uid="{70FDB43D-AF91-41BA-93F8-F61E2D11E67A}"/>
    <cellStyle name="Normal 24 2 3 2 3" xfId="7965" xr:uid="{1C31CDA5-3F95-4A0D-88F4-EA9310742996}"/>
    <cellStyle name="Normal 24 2 3 3" xfId="4680" xr:uid="{AEC5DD39-ADF9-4459-B3F4-B169BD6FCEE8}"/>
    <cellStyle name="Normal 24 2 3 3 2" xfId="9248" xr:uid="{8F44DFAA-16AA-4C06-B3A5-E355451A741A}"/>
    <cellStyle name="Normal 24 2 3 4" xfId="6956" xr:uid="{ADC62B28-7725-4D4D-9272-79FFFDF37823}"/>
    <cellStyle name="Normal 24 2 4" xfId="2837" xr:uid="{D43B60A9-03A7-458A-B29C-D0C285BD7C21}"/>
    <cellStyle name="Normal 24 2 4 2" xfId="5261" xr:uid="{57CAE599-AA09-4DAB-AF1D-7FF0AA1D2BF7}"/>
    <cellStyle name="Normal 24 2 4 2 2" xfId="9829" xr:uid="{54FAA7E7-05DF-46D3-B113-19E14DEFB026}"/>
    <cellStyle name="Normal 24 2 4 3" xfId="7537" xr:uid="{82B14E39-413C-47D8-9E83-0C0EB5858B4F}"/>
    <cellStyle name="Normal 24 2 5" xfId="4252" xr:uid="{091CF229-77FB-46F9-902C-7DB6D58E788E}"/>
    <cellStyle name="Normal 24 2 5 2" xfId="8820" xr:uid="{321AF587-4CB8-4C39-97FA-0DE94D1CF047}"/>
    <cellStyle name="Normal 24 2 6" xfId="6528" xr:uid="{BE33FFD4-FD32-4163-834C-319E88F38EF0}"/>
    <cellStyle name="Normal 24 3" xfId="1895" xr:uid="{98760D05-573E-4EEC-9213-209F77971CC8}"/>
    <cellStyle name="Normal 24 3 2" xfId="2437" xr:uid="{4905A80D-14CC-41B2-9388-458A49E927BE}"/>
    <cellStyle name="Normal 24 3 2 2" xfId="3448" xr:uid="{20C63979-8859-4DE9-AF05-921E037667CB}"/>
    <cellStyle name="Normal 24 3 2 2 2" xfId="5872" xr:uid="{0368D0A1-399F-4278-936F-B3BA55297B78}"/>
    <cellStyle name="Normal 24 3 2 2 2 2" xfId="10440" xr:uid="{32D3F521-6231-4E26-8EF8-0C33A3FB4FC2}"/>
    <cellStyle name="Normal 24 3 2 2 3" xfId="8148" xr:uid="{1BE2E3D1-8426-4695-A05D-91F3EAB39209}"/>
    <cellStyle name="Normal 24 3 2 3" xfId="4863" xr:uid="{DBF28656-563A-442F-BB1F-1E48BFA9F2DE}"/>
    <cellStyle name="Normal 24 3 2 3 2" xfId="9431" xr:uid="{E92E3F44-DB44-40F2-9F58-83DEA8133514}"/>
    <cellStyle name="Normal 24 3 2 4" xfId="7139" xr:uid="{5611EAE1-63FC-4748-92C3-91493A80E36B}"/>
    <cellStyle name="Normal 24 3 3" xfId="3020" xr:uid="{2928A7F0-503C-46A2-B2B1-5290F907E562}"/>
    <cellStyle name="Normal 24 3 3 2" xfId="5444" xr:uid="{11305457-D0B0-462A-9D7A-5BB62B62C3FE}"/>
    <cellStyle name="Normal 24 3 3 2 2" xfId="10012" xr:uid="{BE954132-C33E-4D5A-ABC7-036D12D24334}"/>
    <cellStyle name="Normal 24 3 3 3" xfId="7720" xr:uid="{043E0BA5-D1C8-44CE-8958-684FD332D393}"/>
    <cellStyle name="Normal 24 3 4" xfId="4435" xr:uid="{E6313EF2-A03A-4FB1-87EE-1ABBF24EDC18}"/>
    <cellStyle name="Normal 24 3 4 2" xfId="9003" xr:uid="{FFF62516-70D6-4841-84BC-7ED89C868416}"/>
    <cellStyle name="Normal 24 3 5" xfId="6711" xr:uid="{42B6CF78-1B18-47FB-8FAE-F989F66924DF}"/>
    <cellStyle name="Normal 24 4" xfId="2250" xr:uid="{C3D05F52-7E22-4F39-8AE6-2926B32E7162}"/>
    <cellStyle name="Normal 24 4 2" xfId="3261" xr:uid="{0F4F51DC-A86D-4B91-851B-BF845ED7168C}"/>
    <cellStyle name="Normal 24 4 2 2" xfId="5685" xr:uid="{2AE13EEB-E033-4FE9-A1C1-672ED3C59F1F}"/>
    <cellStyle name="Normal 24 4 2 2 2" xfId="10253" xr:uid="{2216F6A1-8FF6-402F-871F-1BC7F1F5130D}"/>
    <cellStyle name="Normal 24 4 2 3" xfId="7961" xr:uid="{DCF25D7D-EE3B-47F6-A18B-2510E0876FFB}"/>
    <cellStyle name="Normal 24 4 3" xfId="4676" xr:uid="{F8E56BA1-8B6C-4446-AEB6-171C8A612077}"/>
    <cellStyle name="Normal 24 4 3 2" xfId="9244" xr:uid="{D4C47FA6-4682-4466-A914-232EF87B5966}"/>
    <cellStyle name="Normal 24 4 4" xfId="6952" xr:uid="{6548E288-9182-4397-84ED-9D5B91B6D812}"/>
    <cellStyle name="Normal 24 5" xfId="2833" xr:uid="{EDDB36C7-7512-452D-8A29-DD2952524D05}"/>
    <cellStyle name="Normal 24 5 2" xfId="5257" xr:uid="{3D5EA5F0-55A4-4F2B-AC19-6AA148280B74}"/>
    <cellStyle name="Normal 24 5 2 2" xfId="9825" xr:uid="{1568DC56-D33A-490B-AC34-44222B248FD7}"/>
    <cellStyle name="Normal 24 5 3" xfId="7533" xr:uid="{8D4563F2-F97F-49AF-8101-1C25BB103A08}"/>
    <cellStyle name="Normal 24 6" xfId="4248" xr:uid="{A0FBA286-2CBE-41E0-B3F3-8F1E92A6DABC}"/>
    <cellStyle name="Normal 24 6 2" xfId="8816" xr:uid="{50427DDE-4B13-45FD-B542-10994819BCC5}"/>
    <cellStyle name="Normal 24 7" xfId="6524" xr:uid="{945DF543-1603-49A5-BF93-723B25910540}"/>
    <cellStyle name="Normal 24 8" xfId="1605" xr:uid="{0C562311-2991-4ACA-BB68-60FCAFB067BC}"/>
    <cellStyle name="Normal 25" xfId="945" xr:uid="{00000000-0005-0000-0000-00006E030000}"/>
    <cellStyle name="Normal 25 2" xfId="1626" xr:uid="{B676E04D-57ED-4DAF-A29B-2C10AB58DE85}"/>
    <cellStyle name="Normal 25 2 2" xfId="1916" xr:uid="{AEA0FDD2-2A1A-41F8-BD22-53D0ECDC7292}"/>
    <cellStyle name="Normal 25 2 2 2" xfId="2458" xr:uid="{2CD41E30-E58A-4872-99DD-A37E4D9F7395}"/>
    <cellStyle name="Normal 25 2 2 2 2" xfId="3469" xr:uid="{250080FF-3256-4F58-A6CC-FB15BD63A09B}"/>
    <cellStyle name="Normal 25 2 2 2 2 2" xfId="5893" xr:uid="{CEA61748-10D7-4F22-8490-17494E351C25}"/>
    <cellStyle name="Normal 25 2 2 2 2 2 2" xfId="10461" xr:uid="{EDF1A130-B60A-4207-8530-2FD516B4AF52}"/>
    <cellStyle name="Normal 25 2 2 2 2 3" xfId="8169" xr:uid="{D4B9B348-03D9-426B-B469-C7AF435A1475}"/>
    <cellStyle name="Normal 25 2 2 2 3" xfId="4884" xr:uid="{A55EAB89-3C27-4EA7-982A-28363ECE1E42}"/>
    <cellStyle name="Normal 25 2 2 2 3 2" xfId="9452" xr:uid="{420109A4-F43F-4B7A-832D-1272C5D0F798}"/>
    <cellStyle name="Normal 25 2 2 2 4" xfId="7160" xr:uid="{EA946AD1-1AC2-4C9B-8EA6-32C55D876072}"/>
    <cellStyle name="Normal 25 2 2 3" xfId="3041" xr:uid="{18D0827F-6BC6-452C-B26D-1B72379E01E3}"/>
    <cellStyle name="Normal 25 2 2 3 2" xfId="5465" xr:uid="{7AF67B2C-C159-40EA-A376-D8575805E2FF}"/>
    <cellStyle name="Normal 25 2 2 3 2 2" xfId="10033" xr:uid="{01B2D7AB-61C0-493D-9C87-415B80D07E8C}"/>
    <cellStyle name="Normal 25 2 2 3 3" xfId="7741" xr:uid="{8CE589F4-3D52-477C-B351-648D4F5A5D5A}"/>
    <cellStyle name="Normal 25 2 2 4" xfId="4456" xr:uid="{5F8E6DE3-5C3C-4B70-802F-A70E6CA59233}"/>
    <cellStyle name="Normal 25 2 2 4 2" xfId="9024" xr:uid="{FC55F10D-2932-416E-8F92-E0FA59C747F4}"/>
    <cellStyle name="Normal 25 2 2 5" xfId="6732" xr:uid="{4E7FBAF3-DE1A-4C4C-A6AE-05B6969B1CFB}"/>
    <cellStyle name="Normal 25 2 3" xfId="2271" xr:uid="{8422C2DB-A566-4A3E-BDBF-5E80119344EB}"/>
    <cellStyle name="Normal 25 2 3 2" xfId="3282" xr:uid="{B09F4A77-47B5-4432-97E2-282FBBF0E3FB}"/>
    <cellStyle name="Normal 25 2 3 2 2" xfId="5706" xr:uid="{AFCC916E-4B3E-4A15-84B1-BE9B26D0FC98}"/>
    <cellStyle name="Normal 25 2 3 2 2 2" xfId="10274" xr:uid="{982EB1F1-68A6-41B1-A417-87E780E6D390}"/>
    <cellStyle name="Normal 25 2 3 2 3" xfId="7982" xr:uid="{BB549218-1778-4D4A-A949-D15AC74DE55C}"/>
    <cellStyle name="Normal 25 2 3 3" xfId="4697" xr:uid="{45D904BF-2E1E-4090-80D4-5D9CAA88813E}"/>
    <cellStyle name="Normal 25 2 3 3 2" xfId="9265" xr:uid="{7517806D-EAF9-450C-990D-8E2079C87090}"/>
    <cellStyle name="Normal 25 2 3 4" xfId="6973" xr:uid="{69AED596-EDA0-49ED-BCE5-0F360E606ECF}"/>
    <cellStyle name="Normal 25 2 4" xfId="2854" xr:uid="{900921CF-1388-425A-B540-AE23AD2E5B4C}"/>
    <cellStyle name="Normal 25 2 4 2" xfId="5278" xr:uid="{C1B2152B-9F99-4039-B990-69B7DEBB5D52}"/>
    <cellStyle name="Normal 25 2 4 2 2" xfId="9846" xr:uid="{18479879-EF2E-4F77-827C-4775561073AD}"/>
    <cellStyle name="Normal 25 2 4 3" xfId="7554" xr:uid="{6565AEA9-22D8-4196-A4FF-B482C9FDA8C3}"/>
    <cellStyle name="Normal 25 2 5" xfId="4269" xr:uid="{2E7E50D0-EDF1-43FB-8AB1-42FDC6C1263B}"/>
    <cellStyle name="Normal 25 2 5 2" xfId="8837" xr:uid="{2232055A-069F-4971-88A1-75374EEFCAF4}"/>
    <cellStyle name="Normal 25 2 6" xfId="6545" xr:uid="{62480388-1BFC-4E72-AF67-84ED7409DD61}"/>
    <cellStyle name="Normal 25 3" xfId="1906" xr:uid="{EE233A41-1889-4538-A34A-2ABDF1897B39}"/>
    <cellStyle name="Normal 25 3 2" xfId="2448" xr:uid="{985BF25F-BBB6-4174-819E-27BB1D99821C}"/>
    <cellStyle name="Normal 25 3 2 2" xfId="3459" xr:uid="{04B9E241-B04C-40A8-BBE5-C1D4A6F26E16}"/>
    <cellStyle name="Normal 25 3 2 2 2" xfId="5883" xr:uid="{6313CE3D-E3D4-4799-92EE-D27B5755362A}"/>
    <cellStyle name="Normal 25 3 2 2 2 2" xfId="10451" xr:uid="{3BC7F766-751B-4359-8458-4EA465B5F7DF}"/>
    <cellStyle name="Normal 25 3 2 2 3" xfId="8159" xr:uid="{878E9B16-0C46-4647-8CA5-C4611FE6A5C1}"/>
    <cellStyle name="Normal 25 3 2 3" xfId="4874" xr:uid="{D5DCD2ED-5844-41DA-A118-38F557EC3CEF}"/>
    <cellStyle name="Normal 25 3 2 3 2" xfId="9442" xr:uid="{FA81D19D-9144-43CB-BDC3-5E6553B23887}"/>
    <cellStyle name="Normal 25 3 2 4" xfId="7150" xr:uid="{848BE81A-872B-4788-99B7-F9110799F994}"/>
    <cellStyle name="Normal 25 3 3" xfId="3031" xr:uid="{F0055FE0-C89B-4A51-AADF-E900A32AE103}"/>
    <cellStyle name="Normal 25 3 3 2" xfId="5455" xr:uid="{FC7E8284-7FD0-404B-B0F6-8564E89D2F21}"/>
    <cellStyle name="Normal 25 3 3 2 2" xfId="10023" xr:uid="{B34CCBF3-E0C1-4F6F-A966-8F9AA7DAD77E}"/>
    <cellStyle name="Normal 25 3 3 3" xfId="7731" xr:uid="{CFFAB32C-C1D0-4F06-84E8-F1E1A6DC1D7A}"/>
    <cellStyle name="Normal 25 3 4" xfId="4446" xr:uid="{2558F978-07C9-40B1-93BB-44D01C4B1190}"/>
    <cellStyle name="Normal 25 3 4 2" xfId="9014" xr:uid="{BC2FEE9E-2E59-4E3B-AE29-A6E885054620}"/>
    <cellStyle name="Normal 25 3 5" xfId="6722" xr:uid="{6C6D68A1-B56A-4B6D-9FE7-FC92CE246B03}"/>
    <cellStyle name="Normal 25 4" xfId="2261" xr:uid="{572B0124-3B77-49F4-997C-8CF335202B35}"/>
    <cellStyle name="Normal 25 4 2" xfId="3272" xr:uid="{BB25FD99-8E1B-401F-998A-18A8A2B5E56C}"/>
    <cellStyle name="Normal 25 4 2 2" xfId="5696" xr:uid="{E120CE9A-A561-47FB-A12D-EC06A233117F}"/>
    <cellStyle name="Normal 25 4 2 2 2" xfId="10264" xr:uid="{2BB54A9C-EBC3-4A31-98B3-74738DD48571}"/>
    <cellStyle name="Normal 25 4 2 3" xfId="7972" xr:uid="{CEE2B72C-19FF-44A8-9A93-F36A84B3BB43}"/>
    <cellStyle name="Normal 25 4 3" xfId="4687" xr:uid="{2040F92D-226D-4B78-B4F4-9C795A503773}"/>
    <cellStyle name="Normal 25 4 3 2" xfId="9255" xr:uid="{39359A48-5697-49F3-9159-772BC6453527}"/>
    <cellStyle name="Normal 25 4 4" xfId="6963" xr:uid="{E0187DCA-ABAF-47BC-8900-535B77F78592}"/>
    <cellStyle name="Normal 25 5" xfId="2844" xr:uid="{D6FE726F-B722-434C-BC97-864C459DD300}"/>
    <cellStyle name="Normal 25 5 2" xfId="5268" xr:uid="{547E64EE-BF00-4DAE-8835-785E2A6F626F}"/>
    <cellStyle name="Normal 25 5 2 2" xfId="9836" xr:uid="{8309D804-E40E-48A1-923A-74F20EFD4C2C}"/>
    <cellStyle name="Normal 25 5 3" xfId="7544" xr:uid="{F68880CF-6B90-4820-83E6-69F92B3B814B}"/>
    <cellStyle name="Normal 25 6" xfId="4259" xr:uid="{809A85C6-68DC-423E-9FC5-2E4114B2D859}"/>
    <cellStyle name="Normal 25 6 2" xfId="8827" xr:uid="{B7597898-DC88-459A-A83B-E3DACFAF5576}"/>
    <cellStyle name="Normal 25 7" xfId="6535" xr:uid="{2113DB82-07AD-41BD-9D70-BDED05F7BD35}"/>
    <cellStyle name="Normal 25 8" xfId="1616" xr:uid="{842B708F-EB58-42B7-9B60-0E671BB7160E}"/>
    <cellStyle name="Normal 26" xfId="948" xr:uid="{00000000-0005-0000-0000-00006F030000}"/>
    <cellStyle name="Normal 26 2" xfId="1909" xr:uid="{1B7360C1-ABAE-4735-8EDF-867ED5D57162}"/>
    <cellStyle name="Normal 26 2 2" xfId="2451" xr:uid="{98DC44EA-E47A-42F6-8FAB-42B9F42E396F}"/>
    <cellStyle name="Normal 26 2 2 2" xfId="3462" xr:uid="{9A326621-F4D1-4393-8433-DF45E8AA0B9E}"/>
    <cellStyle name="Normal 26 2 2 2 2" xfId="5886" xr:uid="{B41B18DC-FAB0-49CF-82D4-FAF81D539234}"/>
    <cellStyle name="Normal 26 2 2 2 2 2" xfId="10454" xr:uid="{BF90ECD6-9D4A-4471-8044-CD1520DA8DBF}"/>
    <cellStyle name="Normal 26 2 2 2 3" xfId="8162" xr:uid="{19BB4818-FED9-422D-9231-6FEC49E5DDF1}"/>
    <cellStyle name="Normal 26 2 2 3" xfId="4877" xr:uid="{F324B32C-5519-421A-AA2A-1C7555770C31}"/>
    <cellStyle name="Normal 26 2 2 3 2" xfId="9445" xr:uid="{65274425-BDFC-43CA-8629-BB2FA44DB87C}"/>
    <cellStyle name="Normal 26 2 2 4" xfId="7153" xr:uid="{A807DCE5-1F45-4E42-A584-BDAE79EF10C3}"/>
    <cellStyle name="Normal 26 2 3" xfId="3034" xr:uid="{5B0356E7-EB04-4768-AD43-7C1AC019F9FD}"/>
    <cellStyle name="Normal 26 2 3 2" xfId="5458" xr:uid="{6093FA10-5CBF-40AF-A6E5-5C9EE62192D4}"/>
    <cellStyle name="Normal 26 2 3 2 2" xfId="10026" xr:uid="{0ACEF173-11F0-4D50-BE3C-45FB035D99CB}"/>
    <cellStyle name="Normal 26 2 3 3" xfId="7734" xr:uid="{D83D35C1-82B0-441A-B60F-9B64D968E8B5}"/>
    <cellStyle name="Normal 26 2 4" xfId="4449" xr:uid="{1390C9F1-EB65-414E-8E59-BA2BEFEA1CF1}"/>
    <cellStyle name="Normal 26 2 4 2" xfId="9017" xr:uid="{9F314730-B81A-4A5A-BD80-9A4B656573F5}"/>
    <cellStyle name="Normal 26 2 5" xfId="6725" xr:uid="{FE1248EF-1813-4261-BA78-26EBDE2AA158}"/>
    <cellStyle name="Normal 26 3" xfId="2264" xr:uid="{C078C4F1-1081-47C7-A812-D7BDB5FAE0C1}"/>
    <cellStyle name="Normal 26 3 2" xfId="3275" xr:uid="{274A97F0-23CD-4819-83A2-10F7706354BA}"/>
    <cellStyle name="Normal 26 3 2 2" xfId="5699" xr:uid="{CFD5070A-47C2-410C-BEDE-110E69D8B74A}"/>
    <cellStyle name="Normal 26 3 2 2 2" xfId="10267" xr:uid="{8CD67FCE-2B3D-4608-985F-1D93EAB942CC}"/>
    <cellStyle name="Normal 26 3 2 3" xfId="7975" xr:uid="{8B3764D7-9BDD-4D70-A8A1-69AF9498B238}"/>
    <cellStyle name="Normal 26 3 3" xfId="4690" xr:uid="{2E3BD2E8-931D-41D8-9EBF-891EBA8DB88F}"/>
    <cellStyle name="Normal 26 3 3 2" xfId="9258" xr:uid="{1E999F7A-7747-49DF-B354-D4887CC20C43}"/>
    <cellStyle name="Normal 26 3 4" xfId="6966" xr:uid="{B1287648-7993-46F5-AAC7-09F3734E82D5}"/>
    <cellStyle name="Normal 26 4" xfId="2847" xr:uid="{6719B3E3-8344-4DD6-80B0-C9DC429382E7}"/>
    <cellStyle name="Normal 26 4 2" xfId="5271" xr:uid="{8176FF51-98EF-4118-91A1-8AF5764A5C42}"/>
    <cellStyle name="Normal 26 4 2 2" xfId="9839" xr:uid="{989E9922-3F2C-4393-B7EE-E3DBA469A4F8}"/>
    <cellStyle name="Normal 26 4 3" xfId="7547" xr:uid="{545AFCC0-E835-4282-B525-155004D1A53F}"/>
    <cellStyle name="Normal 26 5" xfId="4262" xr:uid="{D45D2364-E2F0-4B9F-9E85-143C25FD86F5}"/>
    <cellStyle name="Normal 26 5 2" xfId="8830" xr:uid="{E19375A6-4569-496C-9295-C1B41C90140B}"/>
    <cellStyle name="Normal 26 6" xfId="6538" xr:uid="{C590F131-B82A-4DE5-8A5A-B71339016633}"/>
    <cellStyle name="Normal 26 7" xfId="1619" xr:uid="{DD51AE08-DE3C-4CF8-A8CB-28F51A75BAD3}"/>
    <cellStyle name="Normal 27" xfId="952" xr:uid="{00000000-0005-0000-0000-000070030000}"/>
    <cellStyle name="Normal 27 2" xfId="986" xr:uid="{00000000-0005-0000-0000-000071030000}"/>
    <cellStyle name="Normal 27 2 2" xfId="2455" xr:uid="{72C85F08-0B9B-479F-AAD4-76DF0BCF6008}"/>
    <cellStyle name="Normal 27 2 2 2" xfId="3466" xr:uid="{2BABF13C-AEFE-41DE-A9F4-CC5BCB33CC13}"/>
    <cellStyle name="Normal 27 2 2 2 2" xfId="5890" xr:uid="{00A8399F-0F1C-45AB-A6F0-D2C136AD0911}"/>
    <cellStyle name="Normal 27 2 2 2 2 2" xfId="10458" xr:uid="{60707244-B9F6-4FA3-9935-E2A5B6B91024}"/>
    <cellStyle name="Normal 27 2 2 2 3" xfId="8166" xr:uid="{347DB361-DDBC-4C45-9A9B-942FC1B3AAA3}"/>
    <cellStyle name="Normal 27 2 2 3" xfId="4881" xr:uid="{C4CF33A5-AEF4-485C-AD81-318B86B5B894}"/>
    <cellStyle name="Normal 27 2 2 3 2" xfId="9449" xr:uid="{8BBC09DB-CCE0-45D4-8151-65F2BC0E5EAA}"/>
    <cellStyle name="Normal 27 2 2 4" xfId="7157" xr:uid="{BC35DD77-F7B2-40A2-8B76-0D9D1F6228B1}"/>
    <cellStyle name="Normal 27 2 3" xfId="3038" xr:uid="{DD2D4066-08BF-4584-92ED-433958231A11}"/>
    <cellStyle name="Normal 27 2 3 2" xfId="5462" xr:uid="{9E05AC4D-01A3-4F90-9467-80E073DF8410}"/>
    <cellStyle name="Normal 27 2 3 2 2" xfId="10030" xr:uid="{CED43735-83BB-4B81-9A4A-A0071A6F0C48}"/>
    <cellStyle name="Normal 27 2 3 3" xfId="7738" xr:uid="{FD21E165-DAA9-46AE-BEAD-A05BC65B0647}"/>
    <cellStyle name="Normal 27 2 4" xfId="4453" xr:uid="{A6E48A1F-52E8-4E96-8CBA-7FCFB207650C}"/>
    <cellStyle name="Normal 27 2 4 2" xfId="9021" xr:uid="{75BB505C-9455-4CB1-B28C-A1B73C9F10D0}"/>
    <cellStyle name="Normal 27 2 5" xfId="6729" xr:uid="{ED5240E3-D133-475A-8A99-BE562B52D335}"/>
    <cellStyle name="Normal 27 2 6" xfId="1913" xr:uid="{B642E831-40EB-428A-AB73-C57CCB460177}"/>
    <cellStyle name="Normal 27 3" xfId="2268" xr:uid="{5DD1317B-17EA-4153-A5B5-67C069F8F9B7}"/>
    <cellStyle name="Normal 27 3 2" xfId="3279" xr:uid="{733D6560-E1C0-41A5-9AE7-68FD14D413BA}"/>
    <cellStyle name="Normal 27 3 2 2" xfId="5703" xr:uid="{CF4377A0-2860-40BF-AB5F-6EF31833FFBF}"/>
    <cellStyle name="Normal 27 3 2 2 2" xfId="10271" xr:uid="{E1FB3977-FC99-4426-B80F-5CF1CA7E793C}"/>
    <cellStyle name="Normal 27 3 2 3" xfId="7979" xr:uid="{7F05FA00-792E-45CA-9CB2-72862E504BF3}"/>
    <cellStyle name="Normal 27 3 3" xfId="4694" xr:uid="{05ADC52D-863A-4550-B5A4-7451F78B280E}"/>
    <cellStyle name="Normal 27 3 3 2" xfId="9262" xr:uid="{124D589E-E2F5-4D53-99EE-370A483BA731}"/>
    <cellStyle name="Normal 27 3 4" xfId="6970" xr:uid="{7E82DBBF-97AD-45DC-B116-9F415C7CC654}"/>
    <cellStyle name="Normal 27 4" xfId="2851" xr:uid="{6665CC86-851F-47C8-968C-7C81A13DC5A6}"/>
    <cellStyle name="Normal 27 4 2" xfId="5275" xr:uid="{D2CAB051-E7F1-40EF-9DC9-BDD473621AC1}"/>
    <cellStyle name="Normal 27 4 2 2" xfId="9843" xr:uid="{D3CE4334-1674-4B40-92CC-F744A0D433B5}"/>
    <cellStyle name="Normal 27 4 3" xfId="7551" xr:uid="{E758A138-16F4-46B0-8A99-6AF6ACBFCA28}"/>
    <cellStyle name="Normal 27 5" xfId="4266" xr:uid="{4EA3DBDB-F9D3-46C7-AE53-5E54248D5AA9}"/>
    <cellStyle name="Normal 27 5 2" xfId="8834" xr:uid="{4D08D861-689D-4F67-BA25-65D3BCE48C7C}"/>
    <cellStyle name="Normal 27 6" xfId="6542" xr:uid="{554804EB-8AE7-44C6-BC15-287514186AB8}"/>
    <cellStyle name="Normal 27 7" xfId="1623" xr:uid="{D8045D6B-890B-4F1C-9293-92FFE147E88C}"/>
    <cellStyle name="Normal 28" xfId="956" xr:uid="{00000000-0005-0000-0000-000072030000}"/>
    <cellStyle name="Normal 28 2" xfId="958" xr:uid="{00000000-0005-0000-0000-000073030000}"/>
    <cellStyle name="Normal 28 2 2" xfId="2457" xr:uid="{3298ECD7-588E-42E4-81BA-02B7CB09BFAA}"/>
    <cellStyle name="Normal 28 2 2 2" xfId="3468" xr:uid="{69C54712-0054-4BE5-9D09-8F180F22033C}"/>
    <cellStyle name="Normal 28 2 2 2 2" xfId="5892" xr:uid="{792F8A55-29C0-488A-9BC0-BB15134D30F6}"/>
    <cellStyle name="Normal 28 2 2 2 2 2" xfId="10460" xr:uid="{9FA1B766-5868-443B-BC8F-BC01FB7A1BA7}"/>
    <cellStyle name="Normal 28 2 2 2 3" xfId="8168" xr:uid="{FD44E5C4-E01E-4C5F-8388-FC6686E390BF}"/>
    <cellStyle name="Normal 28 2 2 3" xfId="4883" xr:uid="{E41A98F2-F20D-453D-9FDA-1668E5E1A9B4}"/>
    <cellStyle name="Normal 28 2 2 3 2" xfId="9451" xr:uid="{DA50C468-D658-4A45-B3E1-9505C91D3019}"/>
    <cellStyle name="Normal 28 2 2 4" xfId="7159" xr:uid="{B64B2A9B-32A0-4CA5-9170-C169C7ED570D}"/>
    <cellStyle name="Normal 28 2 3" xfId="3040" xr:uid="{101F8D55-FD52-469D-AEDD-B3990EE0FB8C}"/>
    <cellStyle name="Normal 28 2 3 2" xfId="5464" xr:uid="{89FA9814-4ACD-41C4-98AF-73021778DFE2}"/>
    <cellStyle name="Normal 28 2 3 2 2" xfId="10032" xr:uid="{495CF361-F03D-474A-AB28-AB27A14FB576}"/>
    <cellStyle name="Normal 28 2 3 3" xfId="7740" xr:uid="{98A14685-BC33-4FA2-9C88-5C5661D3593A}"/>
    <cellStyle name="Normal 28 2 4" xfId="4455" xr:uid="{02535C58-4867-4B5C-B553-92CAFABAF1A1}"/>
    <cellStyle name="Normal 28 2 4 2" xfId="9023" xr:uid="{FBED8A95-D4EA-4568-AA56-722C708AADE7}"/>
    <cellStyle name="Normal 28 2 5" xfId="6731" xr:uid="{FDFA2AD3-43B6-4AE6-B831-F05287E11BA9}"/>
    <cellStyle name="Normal 28 2 6" xfId="1915" xr:uid="{49B0C890-392D-42D1-ACAB-2C51B1BFCF9A}"/>
    <cellStyle name="Normal 28 3" xfId="2270" xr:uid="{FF94A12D-6F0F-4D05-9CA8-FD6DE3D2E1FD}"/>
    <cellStyle name="Normal 28 3 2" xfId="3281" xr:uid="{FD72BDBA-9921-4452-8CCA-CEB434ECE6E5}"/>
    <cellStyle name="Normal 28 3 2 2" xfId="5705" xr:uid="{EFFBA583-4A51-461A-B4ED-32B77939B307}"/>
    <cellStyle name="Normal 28 3 2 2 2" xfId="10273" xr:uid="{84C476DF-30D2-462E-BBFA-2A5CCE644F3C}"/>
    <cellStyle name="Normal 28 3 2 3" xfId="7981" xr:uid="{42DCEABB-A2C1-441C-8E68-05BC101FBC51}"/>
    <cellStyle name="Normal 28 3 3" xfId="4696" xr:uid="{6C3F61CF-E65C-4BE7-A113-82ECC47F0FDD}"/>
    <cellStyle name="Normal 28 3 3 2" xfId="9264" xr:uid="{E531E6EA-653A-4DEA-A42F-F62ECB0B0C1B}"/>
    <cellStyle name="Normal 28 3 4" xfId="6972" xr:uid="{FDFC0688-084E-4448-8647-1590C83D1FE5}"/>
    <cellStyle name="Normal 28 4" xfId="2853" xr:uid="{C55AC289-859B-4471-A626-A5A26ABEAD55}"/>
    <cellStyle name="Normal 28 4 2" xfId="5277" xr:uid="{64072658-F5D7-450A-8E5C-EAB15AE49F23}"/>
    <cellStyle name="Normal 28 4 2 2" xfId="9845" xr:uid="{F0E19AD8-8CA4-4BBF-939A-873A9EF59615}"/>
    <cellStyle name="Normal 28 4 3" xfId="7553" xr:uid="{04DAE25D-683A-4215-B38B-C86E25CAB5C4}"/>
    <cellStyle name="Normal 28 5" xfId="4268" xr:uid="{96CD8BE1-1584-4560-A958-0A3848A36E3B}"/>
    <cellStyle name="Normal 28 5 2" xfId="8836" xr:uid="{B8A30289-6565-4388-8AF3-6D2B067D57F1}"/>
    <cellStyle name="Normal 28 6" xfId="6544" xr:uid="{BCA5E275-5C30-4681-B7EF-0677CB3B8C5F}"/>
    <cellStyle name="Normal 28 7" xfId="1625" xr:uid="{B730FAD8-6623-450D-ABAA-4DC08F262939}"/>
    <cellStyle name="Normal 29" xfId="970" xr:uid="{00000000-0005-0000-0000-000074030000}"/>
    <cellStyle name="Normal 29 2" xfId="1917" xr:uid="{6AFCC6C7-C557-485C-AA64-7C1E16C38EA5}"/>
    <cellStyle name="Normal 29 2 2" xfId="2459" xr:uid="{F1DA6E96-47C5-4C10-BD73-E917E2553031}"/>
    <cellStyle name="Normal 29 2 2 2" xfId="3470" xr:uid="{51953070-F906-4A63-A325-DEC7853C077D}"/>
    <cellStyle name="Normal 29 2 2 2 2" xfId="5894" xr:uid="{C613EC54-6B41-46C5-A06B-B60D5A8A1B26}"/>
    <cellStyle name="Normal 29 2 2 2 2 2" xfId="10462" xr:uid="{260B1510-F457-4358-8638-9C531A9F6967}"/>
    <cellStyle name="Normal 29 2 2 2 3" xfId="8170" xr:uid="{C7784ABB-213D-4296-868E-61134F2670AC}"/>
    <cellStyle name="Normal 29 2 2 3" xfId="4885" xr:uid="{5BBE237F-3747-4835-A15D-568CA73B3897}"/>
    <cellStyle name="Normal 29 2 2 3 2" xfId="9453" xr:uid="{ABD25F87-9AAF-46EC-A554-1A3CC5310BA2}"/>
    <cellStyle name="Normal 29 2 2 4" xfId="7161" xr:uid="{1306E3E0-BE71-4EE9-8B73-AF14329B3022}"/>
    <cellStyle name="Normal 29 2 3" xfId="3042" xr:uid="{B93B239B-373B-43A0-B0DA-930EEDEC8225}"/>
    <cellStyle name="Normal 29 2 3 2" xfId="5466" xr:uid="{B629621C-2476-4E88-8819-378623EFB7A6}"/>
    <cellStyle name="Normal 29 2 3 2 2" xfId="10034" xr:uid="{652AE939-8E60-4E3D-AFAF-B9C786109F03}"/>
    <cellStyle name="Normal 29 2 3 3" xfId="7742" xr:uid="{44E373AA-6612-43FC-9DD4-F17A135DE0BF}"/>
    <cellStyle name="Normal 29 2 4" xfId="4457" xr:uid="{37EBE477-4435-4973-AA84-9B68DC9DB43F}"/>
    <cellStyle name="Normal 29 2 4 2" xfId="9025" xr:uid="{3404435F-A948-4918-A1A6-9588003678FA}"/>
    <cellStyle name="Normal 29 2 5" xfId="6733" xr:uid="{2894EF9C-0D84-44B1-94F6-0DA1ABF43B3B}"/>
    <cellStyle name="Normal 29 3" xfId="2272" xr:uid="{825D314F-8362-4FEC-990E-634DAE549ED4}"/>
    <cellStyle name="Normal 29 3 2" xfId="3283" xr:uid="{321893EA-127E-4B88-AB45-386F9CD611E1}"/>
    <cellStyle name="Normal 29 3 2 2" xfId="5707" xr:uid="{6F94D8E1-040A-426B-A1CA-4466B797D98C}"/>
    <cellStyle name="Normal 29 3 2 2 2" xfId="10275" xr:uid="{9788B66A-B02C-4DF4-8138-61B8CCBA552F}"/>
    <cellStyle name="Normal 29 3 2 3" xfId="7983" xr:uid="{95157D57-FAAE-4EB2-B8F8-ED7997558012}"/>
    <cellStyle name="Normal 29 3 3" xfId="4698" xr:uid="{65541169-0E31-4461-A3B3-D390B5F8AE90}"/>
    <cellStyle name="Normal 29 3 3 2" xfId="9266" xr:uid="{6AA3D1DE-2DDA-49FA-9E30-974E07F44B9D}"/>
    <cellStyle name="Normal 29 3 4" xfId="6974" xr:uid="{568FF58F-6497-41D9-8564-32437722F5B1}"/>
    <cellStyle name="Normal 29 4" xfId="2855" xr:uid="{F8E72C5B-2F76-499C-A2CF-85F800CF218A}"/>
    <cellStyle name="Normal 29 4 2" xfId="5279" xr:uid="{BA1061EF-A6C3-444E-8D2F-BD3CAC516D1E}"/>
    <cellStyle name="Normal 29 4 2 2" xfId="9847" xr:uid="{6CEF9D75-CF21-4BAB-84DB-A02C2264FA18}"/>
    <cellStyle name="Normal 29 4 3" xfId="7555" xr:uid="{5345B3FB-5969-42D3-9C7B-164AE682995D}"/>
    <cellStyle name="Normal 29 5" xfId="4270" xr:uid="{B0E7B2ED-B19E-4AD2-9702-811609B945A5}"/>
    <cellStyle name="Normal 29 5 2" xfId="8838" xr:uid="{6E1B3A09-7779-4BE7-81FA-5EB2533906A7}"/>
    <cellStyle name="Normal 29 6" xfId="6546" xr:uid="{9BB5E8A4-91B8-4ADA-BF42-2216FA0380D7}"/>
    <cellStyle name="Normal 29 7" xfId="1627" xr:uid="{F9457CD2-1F70-45CA-968D-936877D90508}"/>
    <cellStyle name="Normal 3" xfId="607" xr:uid="{00000000-0005-0000-0000-000075030000}"/>
    <cellStyle name="Normal 3 10" xfId="960" xr:uid="{00000000-0005-0000-0000-000076030000}"/>
    <cellStyle name="Normal 3 11" xfId="962" xr:uid="{00000000-0005-0000-0000-000077030000}"/>
    <cellStyle name="Normal 3 12" xfId="971" xr:uid="{00000000-0005-0000-0000-000078030000}"/>
    <cellStyle name="Normal 3 13" xfId="988" xr:uid="{00000000-0005-0000-0000-000079030000}"/>
    <cellStyle name="Normal 3 14" xfId="989" xr:uid="{00000000-0005-0000-0000-00007A030000}"/>
    <cellStyle name="Normal 3 15" xfId="1003" xr:uid="{00000000-0005-0000-0000-00007B030000}"/>
    <cellStyle name="Normal 3 16" xfId="1028" xr:uid="{00000000-0005-0000-0000-00007C030000}"/>
    <cellStyle name="Normal 3 17" xfId="1047" xr:uid="{00000000-0005-0000-0000-00007D030000}"/>
    <cellStyle name="Normal 3 2" xfId="608" xr:uid="{00000000-0005-0000-0000-00007E030000}"/>
    <cellStyle name="Normal 3 2 10" xfId="1518" xr:uid="{46FA259E-4DF9-4D27-BD46-DEBECD20FBDD}"/>
    <cellStyle name="Normal 3 2 2" xfId="609" xr:uid="{00000000-0005-0000-0000-00007F030000}"/>
    <cellStyle name="Normal 3 2 2 10" xfId="1519" xr:uid="{4B87AEEA-26D9-4126-943D-FA054BFE24E3}"/>
    <cellStyle name="Normal 3 2 2 2" xfId="610" xr:uid="{00000000-0005-0000-0000-000080030000}"/>
    <cellStyle name="Normal 3 2 2 2 10" xfId="1520" xr:uid="{16A61D03-BF19-452A-996A-E80F9562F9BE}"/>
    <cellStyle name="Normal 3 2 2 2 2" xfId="611" xr:uid="{00000000-0005-0000-0000-000081030000}"/>
    <cellStyle name="Normal 3 2 2 2 2 10" xfId="1521" xr:uid="{956F1836-BF02-41FA-8334-9F220C93ED44}"/>
    <cellStyle name="Normal 3 2 2 2 2 2" xfId="612" xr:uid="{00000000-0005-0000-0000-000082030000}"/>
    <cellStyle name="Normal 3 2 2 2 2 2 10" xfId="1522" xr:uid="{2DC2C414-F87C-4FDC-9863-EDA2D63A1231}"/>
    <cellStyle name="Normal 3 2 2 2 2 2 2" xfId="613" xr:uid="{00000000-0005-0000-0000-000083030000}"/>
    <cellStyle name="Normal 3 2 2 2 2 2 2 10" xfId="1523" xr:uid="{64DF19F6-C1D3-4A8F-B5BE-3563B4FFFF20}"/>
    <cellStyle name="Normal 3 2 2 2 2 2 2 2" xfId="614" xr:uid="{00000000-0005-0000-0000-000084030000}"/>
    <cellStyle name="Normal 3 2 2 2 2 2 2 2 10" xfId="1524" xr:uid="{11643EFE-7A77-4764-A2A8-1DA23A8533FE}"/>
    <cellStyle name="Normal 3 2 2 2 2 2 2 2 2" xfId="615" xr:uid="{00000000-0005-0000-0000-000085030000}"/>
    <cellStyle name="Normal 3 2 2 2 2 2 2 2 2 2" xfId="616" xr:uid="{00000000-0005-0000-0000-000086030000}"/>
    <cellStyle name="Normal 3 2 2 2 2 2 2 2 2 2 2" xfId="617" xr:uid="{00000000-0005-0000-0000-000087030000}"/>
    <cellStyle name="Normal 3 2 2 2 2 2 2 2 2 2 2 2" xfId="618" xr:uid="{00000000-0005-0000-0000-000088030000}"/>
    <cellStyle name="Normal 3 2 2 2 2 2 2 2 2 2 2 2 2" xfId="619" xr:uid="{00000000-0005-0000-0000-000089030000}"/>
    <cellStyle name="Normal 3 2 2 2 2 2 2 2 2 2 2 2 2 10" xfId="1529" xr:uid="{1EB9CCA2-52CA-4850-B751-4E01BCC9991D}"/>
    <cellStyle name="Normal 3 2 2 2 2 2 2 2 2 2 2 2 2 2" xfId="620" xr:uid="{00000000-0005-0000-0000-00008A030000}"/>
    <cellStyle name="Normal 3 2 2 2 2 2 2 2 2 2 2 2 2 2 2" xfId="621" xr:uid="{00000000-0005-0000-0000-00008B030000}"/>
    <cellStyle name="Normal 3 2 2 2 2 2 2 2 2 2 2 2 2 2 2 2" xfId="1818" xr:uid="{6D216FAF-6052-421E-A12B-E9639EF8845A}"/>
    <cellStyle name="Normal 3 2 2 2 2 2 2 2 2 2 2 2 2 2 2 2 2" xfId="2365" xr:uid="{46EC9F36-6FAB-4A3C-826F-DE12B874FD2C}"/>
    <cellStyle name="Normal 3 2 2 2 2 2 2 2 2 2 2 2 2 2 2 2 2 2" xfId="3376" xr:uid="{225633E1-2FD9-4576-B96F-1D16B1F0854A}"/>
    <cellStyle name="Normal 3 2 2 2 2 2 2 2 2 2 2 2 2 2 2 2 2 2 2" xfId="5800" xr:uid="{29A26E7E-4121-4C27-81EF-A9D51FC35DE6}"/>
    <cellStyle name="Normal 3 2 2 2 2 2 2 2 2 2 2 2 2 2 2 2 2 2 2 2" xfId="10368" xr:uid="{D7F66CF6-C788-4480-BC22-3A76F4CD3E8B}"/>
    <cellStyle name="Normal 3 2 2 2 2 2 2 2 2 2 2 2 2 2 2 2 2 2 3" xfId="8076" xr:uid="{CFF6FD57-C0CA-4496-B079-300CEF22BBBA}"/>
    <cellStyle name="Normal 3 2 2 2 2 2 2 2 2 2 2 2 2 2 2 2 2 3" xfId="4791" xr:uid="{C6EF8B81-4E3C-49E1-9489-DC6BA5B5D1EB}"/>
    <cellStyle name="Normal 3 2 2 2 2 2 2 2 2 2 2 2 2 2 2 2 2 3 2" xfId="9359" xr:uid="{AB2D72D8-E514-4FA9-AEA3-76ACEAB55F74}"/>
    <cellStyle name="Normal 3 2 2 2 2 2 2 2 2 2 2 2 2 2 2 2 2 4" xfId="7067" xr:uid="{68523F18-59E2-4864-BB55-7B2717C81EFF}"/>
    <cellStyle name="Normal 3 2 2 2 2 2 2 2 2 2 2 2 2 2 2 2 3" xfId="2948" xr:uid="{6F71C2EA-FAA4-4AB7-9DA5-7EBF51DCF79C}"/>
    <cellStyle name="Normal 3 2 2 2 2 2 2 2 2 2 2 2 2 2 2 2 3 2" xfId="5372" xr:uid="{6EC04AFD-40F5-4EA0-AC39-252284FB2051}"/>
    <cellStyle name="Normal 3 2 2 2 2 2 2 2 2 2 2 2 2 2 2 2 3 2 2" xfId="9940" xr:uid="{5879D589-BEF8-4ED0-9E5A-04947C84F144}"/>
    <cellStyle name="Normal 3 2 2 2 2 2 2 2 2 2 2 2 2 2 2 2 3 3" xfId="7648" xr:uid="{D63E7DED-43E3-4F6F-AFDC-0E60EA87F482}"/>
    <cellStyle name="Normal 3 2 2 2 2 2 2 2 2 2 2 2 2 2 2 2 4" xfId="4363" xr:uid="{6C78534F-6528-4975-A9A2-DD06E7D6EC68}"/>
    <cellStyle name="Normal 3 2 2 2 2 2 2 2 2 2 2 2 2 2 2 2 4 2" xfId="8931" xr:uid="{DBA3206C-C124-43DD-A72A-43A344050C6C}"/>
    <cellStyle name="Normal 3 2 2 2 2 2 2 2 2 2 2 2 2 2 2 2 5" xfId="6639" xr:uid="{65AC0706-846E-4EE3-BC53-52CD01A6C45A}"/>
    <cellStyle name="Normal 3 2 2 2 2 2 2 2 2 2 2 2 2 2 2 3" xfId="2176" xr:uid="{31319175-6CE1-4D45-B460-411421380D43}"/>
    <cellStyle name="Normal 3 2 2 2 2 2 2 2 2 2 2 2 2 2 2 3 2" xfId="3189" xr:uid="{DBF0D183-5D09-49C6-BC38-45F088FB6E9A}"/>
    <cellStyle name="Normal 3 2 2 2 2 2 2 2 2 2 2 2 2 2 2 3 2 2" xfId="5613" xr:uid="{D87F04C8-BD98-4753-8BAB-E478E3F9480D}"/>
    <cellStyle name="Normal 3 2 2 2 2 2 2 2 2 2 2 2 2 2 2 3 2 2 2" xfId="10181" xr:uid="{D1A0D6B2-A6A6-4188-84BC-9ECA69561F02}"/>
    <cellStyle name="Normal 3 2 2 2 2 2 2 2 2 2 2 2 2 2 2 3 2 3" xfId="7889" xr:uid="{FCAFBABA-3E88-4F0A-9C73-FAC1533C50E7}"/>
    <cellStyle name="Normal 3 2 2 2 2 2 2 2 2 2 2 2 2 2 2 3 3" xfId="4604" xr:uid="{0D8B9A88-F018-410E-97D5-1156564D02AC}"/>
    <cellStyle name="Normal 3 2 2 2 2 2 2 2 2 2 2 2 2 2 2 3 3 2" xfId="9172" xr:uid="{50200488-3407-455B-91F0-56B8046A57FE}"/>
    <cellStyle name="Normal 3 2 2 2 2 2 2 2 2 2 2 2 2 2 2 3 4" xfId="6880" xr:uid="{909C57D3-06D8-4D61-8642-889CFE84578E}"/>
    <cellStyle name="Normal 3 2 2 2 2 2 2 2 2 2 2 2 2 2 2 4" xfId="2758" xr:uid="{E4A3F2F1-A418-405F-AEBE-5DC578CEE56D}"/>
    <cellStyle name="Normal 3 2 2 2 2 2 2 2 2 2 2 2 2 2 2 4 2" xfId="5183" xr:uid="{060D537D-F609-4911-A650-7C6471859CC9}"/>
    <cellStyle name="Normal 3 2 2 2 2 2 2 2 2 2 2 2 2 2 2 4 2 2" xfId="9751" xr:uid="{8EA8503A-E393-473F-A7E6-CCA50403EAE0}"/>
    <cellStyle name="Normal 3 2 2 2 2 2 2 2 2 2 2 2 2 2 2 4 3" xfId="7459" xr:uid="{1906018F-7229-409C-9CE0-FBF4E5E2134F}"/>
    <cellStyle name="Normal 3 2 2 2 2 2 2 2 2 2 2 2 2 2 2 5" xfId="4173" xr:uid="{522FFC90-8750-448D-9310-6E4532DF1EF6}"/>
    <cellStyle name="Normal 3 2 2 2 2 2 2 2 2 2 2 2 2 2 2 5 2" xfId="8742" xr:uid="{0DF6DD43-6481-46BF-8783-3C54C95D6E6A}"/>
    <cellStyle name="Normal 3 2 2 2 2 2 2 2 2 2 2 2 2 2 2 6" xfId="6451" xr:uid="{DB5DF017-B401-4C74-A5FB-ACF8AFA523F3}"/>
    <cellStyle name="Normal 3 2 2 2 2 2 2 2 2 2 2 2 2 2 2 7" xfId="1531" xr:uid="{5E1CFF6A-58F0-4015-8CF8-41FC6C936875}"/>
    <cellStyle name="Normal 3 2 2 2 2 2 2 2 2 2 2 2 2 2 3" xfId="1817" xr:uid="{32F654A5-7519-4606-89FD-729C34943635}"/>
    <cellStyle name="Normal 3 2 2 2 2 2 2 2 2 2 2 2 2 2 3 2" xfId="2364" xr:uid="{6D1A8AFA-2915-43BB-98BA-6A5B6A3B5B78}"/>
    <cellStyle name="Normal 3 2 2 2 2 2 2 2 2 2 2 2 2 2 3 2 2" xfId="3375" xr:uid="{6607AE68-AD7C-45FE-ACDB-8FB3CCADD3BD}"/>
    <cellStyle name="Normal 3 2 2 2 2 2 2 2 2 2 2 2 2 2 3 2 2 2" xfId="5799" xr:uid="{7D21DCD7-B9D3-414F-9BCB-C5651BFDD1E1}"/>
    <cellStyle name="Normal 3 2 2 2 2 2 2 2 2 2 2 2 2 2 3 2 2 2 2" xfId="10367" xr:uid="{F30D9598-EA14-4CC4-97E4-C289B79FE780}"/>
    <cellStyle name="Normal 3 2 2 2 2 2 2 2 2 2 2 2 2 2 3 2 2 3" xfId="8075" xr:uid="{68873B3D-30EB-4840-99B6-FA01889881A7}"/>
    <cellStyle name="Normal 3 2 2 2 2 2 2 2 2 2 2 2 2 2 3 2 3" xfId="4790" xr:uid="{E427AF75-0C68-4335-99B1-B1A030DD4DFB}"/>
    <cellStyle name="Normal 3 2 2 2 2 2 2 2 2 2 2 2 2 2 3 2 3 2" xfId="9358" xr:uid="{1167435F-6C4E-4978-B966-69A96582F45C}"/>
    <cellStyle name="Normal 3 2 2 2 2 2 2 2 2 2 2 2 2 2 3 2 4" xfId="7066" xr:uid="{BA6E680A-00F6-4B50-BADD-D172A7122BA1}"/>
    <cellStyle name="Normal 3 2 2 2 2 2 2 2 2 2 2 2 2 2 3 3" xfId="2947" xr:uid="{92B3C1DA-4974-4AF4-8876-348D3CD5D3A8}"/>
    <cellStyle name="Normal 3 2 2 2 2 2 2 2 2 2 2 2 2 2 3 3 2" xfId="5371" xr:uid="{E3B3717B-5EF0-4975-BFC4-E084AF053C8A}"/>
    <cellStyle name="Normal 3 2 2 2 2 2 2 2 2 2 2 2 2 2 3 3 2 2" xfId="9939" xr:uid="{DDDF1C97-0FD0-4539-A8C7-AF4040DD2805}"/>
    <cellStyle name="Normal 3 2 2 2 2 2 2 2 2 2 2 2 2 2 3 3 3" xfId="7647" xr:uid="{6DF261A5-11A5-448F-8BEA-B2B7A0055F26}"/>
    <cellStyle name="Normal 3 2 2 2 2 2 2 2 2 2 2 2 2 2 3 4" xfId="4362" xr:uid="{AD64246D-04F2-4174-8F84-EB3F188C7A40}"/>
    <cellStyle name="Normal 3 2 2 2 2 2 2 2 2 2 2 2 2 2 3 4 2" xfId="8930" xr:uid="{25D66A06-EB61-4DE4-8BA1-7EB39CA7BE6B}"/>
    <cellStyle name="Normal 3 2 2 2 2 2 2 2 2 2 2 2 2 2 3 5" xfId="6638" xr:uid="{2B1D15C3-9CA3-4287-806E-12F9F53D639E}"/>
    <cellStyle name="Normal 3 2 2 2 2 2 2 2 2 2 2 2 2 2 4" xfId="2175" xr:uid="{53BDCD09-3036-46B7-9632-1C1885B68930}"/>
    <cellStyle name="Normal 3 2 2 2 2 2 2 2 2 2 2 2 2 2 4 2" xfId="3188" xr:uid="{13EBB11E-D80B-47CF-AE2A-71D45C9CF626}"/>
    <cellStyle name="Normal 3 2 2 2 2 2 2 2 2 2 2 2 2 2 4 2 2" xfId="5612" xr:uid="{EC54B1D0-CF73-4FD4-8509-FE944BF3F750}"/>
    <cellStyle name="Normal 3 2 2 2 2 2 2 2 2 2 2 2 2 2 4 2 2 2" xfId="10180" xr:uid="{C33DB25F-8626-4D17-A471-68EE8E0F1E8E}"/>
    <cellStyle name="Normal 3 2 2 2 2 2 2 2 2 2 2 2 2 2 4 2 3" xfId="7888" xr:uid="{672FCAE2-5094-4787-8453-7B5A53E1777A}"/>
    <cellStyle name="Normal 3 2 2 2 2 2 2 2 2 2 2 2 2 2 4 3" xfId="4603" xr:uid="{0EB1F1EB-5E50-4DDE-A956-35CA4C321DFC}"/>
    <cellStyle name="Normal 3 2 2 2 2 2 2 2 2 2 2 2 2 2 4 3 2" xfId="9171" xr:uid="{AED975DA-8448-4DF9-8916-BABAF96BBCD1}"/>
    <cellStyle name="Normal 3 2 2 2 2 2 2 2 2 2 2 2 2 2 4 4" xfId="6879" xr:uid="{0FFEF8F7-1E40-4DDC-AFE0-4541A9A5D9B1}"/>
    <cellStyle name="Normal 3 2 2 2 2 2 2 2 2 2 2 2 2 2 5" xfId="2757" xr:uid="{E3618215-0781-498C-A5F3-6211FEBF87BE}"/>
    <cellStyle name="Normal 3 2 2 2 2 2 2 2 2 2 2 2 2 2 5 2" xfId="5182" xr:uid="{A700A232-2156-4B1A-9869-3256EEC8B09A}"/>
    <cellStyle name="Normal 3 2 2 2 2 2 2 2 2 2 2 2 2 2 5 2 2" xfId="9750" xr:uid="{F1C4C8C7-9140-458F-B338-4177B766A633}"/>
    <cellStyle name="Normal 3 2 2 2 2 2 2 2 2 2 2 2 2 2 5 3" xfId="7458" xr:uid="{5188D38E-0BCD-473E-914B-E4F96B4A4A25}"/>
    <cellStyle name="Normal 3 2 2 2 2 2 2 2 2 2 2 2 2 2 6" xfId="4172" xr:uid="{34AD59F3-7BE7-4927-B736-AABB39D81E31}"/>
    <cellStyle name="Normal 3 2 2 2 2 2 2 2 2 2 2 2 2 2 6 2" xfId="8741" xr:uid="{770505DC-1B5D-4D62-AEEC-ADBEF74E9E39}"/>
    <cellStyle name="Normal 3 2 2 2 2 2 2 2 2 2 2 2 2 2 7" xfId="6450" xr:uid="{34963EFF-BB0E-454A-AD0E-0EFCFBC9D8A5}"/>
    <cellStyle name="Normal 3 2 2 2 2 2 2 2 2 2 2 2 2 2 8" xfId="1530" xr:uid="{F3923013-FB59-4247-8F7E-80F923A6AFCA}"/>
    <cellStyle name="Normal 3 2 2 2 2 2 2 2 2 2 2 2 2 3" xfId="622" xr:uid="{00000000-0005-0000-0000-00008C030000}"/>
    <cellStyle name="Normal 3 2 2 2 2 2 2 2 2 2 2 2 2 3 2" xfId="623" xr:uid="{00000000-0005-0000-0000-00008D030000}"/>
    <cellStyle name="Normal 3 2 2 2 2 2 2 2 2 2 2 2 2 3 2 2" xfId="1820" xr:uid="{1E755926-6BA9-40E8-9A69-7FEE455233DF}"/>
    <cellStyle name="Normal 3 2 2 2 2 2 2 2 2 2 2 2 2 3 2 2 2" xfId="2367" xr:uid="{AD12BF04-AD13-47BD-8342-2CD8291B806F}"/>
    <cellStyle name="Normal 3 2 2 2 2 2 2 2 2 2 2 2 2 3 2 2 2 2" xfId="3378" xr:uid="{4F254A2C-9F9E-4C70-A91C-571EA3FF7CD5}"/>
    <cellStyle name="Normal 3 2 2 2 2 2 2 2 2 2 2 2 2 3 2 2 2 2 2" xfId="5802" xr:uid="{4AA26D32-965C-40C3-9CAE-61F136B6E74D}"/>
    <cellStyle name="Normal 3 2 2 2 2 2 2 2 2 2 2 2 2 3 2 2 2 2 2 2" xfId="10370" xr:uid="{11E67982-6D8E-470F-B4B3-E6CA74E22090}"/>
    <cellStyle name="Normal 3 2 2 2 2 2 2 2 2 2 2 2 2 3 2 2 2 2 3" xfId="8078" xr:uid="{897BCFB2-CA23-4B69-9FD9-1823BC6DBA96}"/>
    <cellStyle name="Normal 3 2 2 2 2 2 2 2 2 2 2 2 2 3 2 2 2 3" xfId="4793" xr:uid="{3EB47895-CC64-4565-88D4-54DB7EC81E8C}"/>
    <cellStyle name="Normal 3 2 2 2 2 2 2 2 2 2 2 2 2 3 2 2 2 3 2" xfId="9361" xr:uid="{D2D33E76-7F49-42C8-85A5-B303088A122D}"/>
    <cellStyle name="Normal 3 2 2 2 2 2 2 2 2 2 2 2 2 3 2 2 2 4" xfId="7069" xr:uid="{82084D5F-5B8C-4B28-A09E-7443BAA1DCA4}"/>
    <cellStyle name="Normal 3 2 2 2 2 2 2 2 2 2 2 2 2 3 2 2 3" xfId="2950" xr:uid="{77A784A3-1EF1-4A04-AA8D-53CE4EC31698}"/>
    <cellStyle name="Normal 3 2 2 2 2 2 2 2 2 2 2 2 2 3 2 2 3 2" xfId="5374" xr:uid="{B29E644E-A7D1-4A59-9A64-F3C979A20D38}"/>
    <cellStyle name="Normal 3 2 2 2 2 2 2 2 2 2 2 2 2 3 2 2 3 2 2" xfId="9942" xr:uid="{A658346F-0384-44E7-93BC-B8A0C8D6797B}"/>
    <cellStyle name="Normal 3 2 2 2 2 2 2 2 2 2 2 2 2 3 2 2 3 3" xfId="7650" xr:uid="{A8D179E6-E2BA-4F1B-B4AD-438FE059D0CE}"/>
    <cellStyle name="Normal 3 2 2 2 2 2 2 2 2 2 2 2 2 3 2 2 4" xfId="4365" xr:uid="{7CCBDC48-F074-4B45-A121-0A909F467992}"/>
    <cellStyle name="Normal 3 2 2 2 2 2 2 2 2 2 2 2 2 3 2 2 4 2" xfId="8933" xr:uid="{B7E8D25A-2434-4EF5-BFAD-FD5BF60932D4}"/>
    <cellStyle name="Normal 3 2 2 2 2 2 2 2 2 2 2 2 2 3 2 2 5" xfId="6641" xr:uid="{77858B0E-3589-4BF1-81AD-DA949A89585F}"/>
    <cellStyle name="Normal 3 2 2 2 2 2 2 2 2 2 2 2 2 3 2 3" xfId="2178" xr:uid="{C3F9FDD2-05AA-48B9-86F0-E077AC4BD400}"/>
    <cellStyle name="Normal 3 2 2 2 2 2 2 2 2 2 2 2 2 3 2 3 2" xfId="3191" xr:uid="{CB554AC2-5864-47AF-8CC1-4B466EB05072}"/>
    <cellStyle name="Normal 3 2 2 2 2 2 2 2 2 2 2 2 2 3 2 3 2 2" xfId="5615" xr:uid="{7B7DFA71-EC4F-4271-A92E-5AA2000C1AE1}"/>
    <cellStyle name="Normal 3 2 2 2 2 2 2 2 2 2 2 2 2 3 2 3 2 2 2" xfId="10183" xr:uid="{1B22614B-97A5-4105-BB26-CF5F11AFC251}"/>
    <cellStyle name="Normal 3 2 2 2 2 2 2 2 2 2 2 2 2 3 2 3 2 3" xfId="7891" xr:uid="{95D78774-8189-4E49-AC6F-6A19976B5693}"/>
    <cellStyle name="Normal 3 2 2 2 2 2 2 2 2 2 2 2 2 3 2 3 3" xfId="4606" xr:uid="{DF760531-40B5-4F81-9E7D-EB74A005D562}"/>
    <cellStyle name="Normal 3 2 2 2 2 2 2 2 2 2 2 2 2 3 2 3 3 2" xfId="9174" xr:uid="{D99DBD46-A7CB-45E3-92EB-AF73FEE69EFC}"/>
    <cellStyle name="Normal 3 2 2 2 2 2 2 2 2 2 2 2 2 3 2 3 4" xfId="6882" xr:uid="{B7A19AD1-632D-4DC4-9113-E00D51FA5027}"/>
    <cellStyle name="Normal 3 2 2 2 2 2 2 2 2 2 2 2 2 3 2 4" xfId="2760" xr:uid="{D7E5AE43-9B94-4234-9909-1CE12ED3BA6C}"/>
    <cellStyle name="Normal 3 2 2 2 2 2 2 2 2 2 2 2 2 3 2 4 2" xfId="5185" xr:uid="{5A684FA6-7673-4598-916E-FBF893A30EBA}"/>
    <cellStyle name="Normal 3 2 2 2 2 2 2 2 2 2 2 2 2 3 2 4 2 2" xfId="9753" xr:uid="{001D624A-DAD4-49B7-9119-2784AB5DBE52}"/>
    <cellStyle name="Normal 3 2 2 2 2 2 2 2 2 2 2 2 2 3 2 4 3" xfId="7461" xr:uid="{66AEEE36-D25E-4CF5-B3B6-850373635C0A}"/>
    <cellStyle name="Normal 3 2 2 2 2 2 2 2 2 2 2 2 2 3 2 5" xfId="4175" xr:uid="{F9F11A30-5E1D-4758-A9A1-C92A847C601E}"/>
    <cellStyle name="Normal 3 2 2 2 2 2 2 2 2 2 2 2 2 3 2 5 2" xfId="8744" xr:uid="{A4410ACC-3081-4F1C-B640-9A88C8D95966}"/>
    <cellStyle name="Normal 3 2 2 2 2 2 2 2 2 2 2 2 2 3 2 6" xfId="6453" xr:uid="{9CAD5A8C-EB25-4BD7-B756-8319531AC90C}"/>
    <cellStyle name="Normal 3 2 2 2 2 2 2 2 2 2 2 2 2 3 2 7" xfId="1533" xr:uid="{4140590A-6BF2-43C3-A8D3-395093AE0559}"/>
    <cellStyle name="Normal 3 2 2 2 2 2 2 2 2 2 2 2 2 3 3" xfId="1819" xr:uid="{9CCEB0F3-1BB3-47BB-953B-BE021A8BECF7}"/>
    <cellStyle name="Normal 3 2 2 2 2 2 2 2 2 2 2 2 2 3 3 2" xfId="2366" xr:uid="{B5EC578B-3CCA-46DC-BF81-5689D539C21C}"/>
    <cellStyle name="Normal 3 2 2 2 2 2 2 2 2 2 2 2 2 3 3 2 2" xfId="3377" xr:uid="{20661C75-F18B-499F-9A8D-69A76BD7E11A}"/>
    <cellStyle name="Normal 3 2 2 2 2 2 2 2 2 2 2 2 2 3 3 2 2 2" xfId="5801" xr:uid="{5C44C36A-F485-408D-B11A-C6190FD4E05A}"/>
    <cellStyle name="Normal 3 2 2 2 2 2 2 2 2 2 2 2 2 3 3 2 2 2 2" xfId="10369" xr:uid="{02C10D19-1A12-4E03-9761-CF188482EDE9}"/>
    <cellStyle name="Normal 3 2 2 2 2 2 2 2 2 2 2 2 2 3 3 2 2 3" xfId="8077" xr:uid="{9E59393F-6130-4E40-B47E-0B20B920F2FA}"/>
    <cellStyle name="Normal 3 2 2 2 2 2 2 2 2 2 2 2 2 3 3 2 3" xfId="4792" xr:uid="{4188A3D4-D9BB-406A-A0FE-924FA58974CB}"/>
    <cellStyle name="Normal 3 2 2 2 2 2 2 2 2 2 2 2 2 3 3 2 3 2" xfId="9360" xr:uid="{27CF614D-02DF-4FDD-999B-0B9682E9FFEF}"/>
    <cellStyle name="Normal 3 2 2 2 2 2 2 2 2 2 2 2 2 3 3 2 4" xfId="7068" xr:uid="{0220264D-666C-4AA8-92FB-6B772883D251}"/>
    <cellStyle name="Normal 3 2 2 2 2 2 2 2 2 2 2 2 2 3 3 3" xfId="2949" xr:uid="{57CAC678-330E-40B3-85A2-17358D3B19A7}"/>
    <cellStyle name="Normal 3 2 2 2 2 2 2 2 2 2 2 2 2 3 3 3 2" xfId="5373" xr:uid="{B10E0852-78B8-4AC1-9CDE-84F2EC6AC1ED}"/>
    <cellStyle name="Normal 3 2 2 2 2 2 2 2 2 2 2 2 2 3 3 3 2 2" xfId="9941" xr:uid="{18B8F7E8-085D-47E4-AAFB-94162530A03A}"/>
    <cellStyle name="Normal 3 2 2 2 2 2 2 2 2 2 2 2 2 3 3 3 3" xfId="7649" xr:uid="{DCFEEBF0-B31F-49AE-81BB-585B6F02FB75}"/>
    <cellStyle name="Normal 3 2 2 2 2 2 2 2 2 2 2 2 2 3 3 4" xfId="4364" xr:uid="{A194EA1A-C2DB-4E0E-B4C3-853ACD62EFAC}"/>
    <cellStyle name="Normal 3 2 2 2 2 2 2 2 2 2 2 2 2 3 3 4 2" xfId="8932" xr:uid="{1E11188D-CD36-4C98-B91B-75A198CD66D3}"/>
    <cellStyle name="Normal 3 2 2 2 2 2 2 2 2 2 2 2 2 3 3 5" xfId="6640" xr:uid="{4DDEA178-5A1F-45EA-8CA8-DCFCF7668C8A}"/>
    <cellStyle name="Normal 3 2 2 2 2 2 2 2 2 2 2 2 2 3 4" xfId="2177" xr:uid="{8C1EB33D-A536-4041-A594-93B49A208174}"/>
    <cellStyle name="Normal 3 2 2 2 2 2 2 2 2 2 2 2 2 3 4 2" xfId="3190" xr:uid="{8E0FD7DB-D133-4499-8B4B-2B4295A25131}"/>
    <cellStyle name="Normal 3 2 2 2 2 2 2 2 2 2 2 2 2 3 4 2 2" xfId="5614" xr:uid="{4307397F-B912-4035-91D7-0644A96429EC}"/>
    <cellStyle name="Normal 3 2 2 2 2 2 2 2 2 2 2 2 2 3 4 2 2 2" xfId="10182" xr:uid="{02456BB7-E83D-4BD5-BB59-1AB91C7C1A4D}"/>
    <cellStyle name="Normal 3 2 2 2 2 2 2 2 2 2 2 2 2 3 4 2 3" xfId="7890" xr:uid="{D44F76BB-FE52-4B53-81E2-AA4079A004C4}"/>
    <cellStyle name="Normal 3 2 2 2 2 2 2 2 2 2 2 2 2 3 4 3" xfId="4605" xr:uid="{30C7FEDD-E726-4777-80E5-0FA59319E5B4}"/>
    <cellStyle name="Normal 3 2 2 2 2 2 2 2 2 2 2 2 2 3 4 3 2" xfId="9173" xr:uid="{33E00D97-36FF-41D9-A8CF-70A14DA5E18E}"/>
    <cellStyle name="Normal 3 2 2 2 2 2 2 2 2 2 2 2 2 3 4 4" xfId="6881" xr:uid="{A276A8D9-52A0-491E-8D0A-F033C24538C7}"/>
    <cellStyle name="Normal 3 2 2 2 2 2 2 2 2 2 2 2 2 3 5" xfId="2759" xr:uid="{C42B821A-8647-4DE9-9251-52B4428FB480}"/>
    <cellStyle name="Normal 3 2 2 2 2 2 2 2 2 2 2 2 2 3 5 2" xfId="5184" xr:uid="{BCC46178-464A-4E05-BC43-07D460B29063}"/>
    <cellStyle name="Normal 3 2 2 2 2 2 2 2 2 2 2 2 2 3 5 2 2" xfId="9752" xr:uid="{C781C753-7B08-4F6A-B034-AF305AEDD498}"/>
    <cellStyle name="Normal 3 2 2 2 2 2 2 2 2 2 2 2 2 3 5 3" xfId="7460" xr:uid="{94C556C2-9964-4D4B-9F11-83509E4F8FDC}"/>
    <cellStyle name="Normal 3 2 2 2 2 2 2 2 2 2 2 2 2 3 6" xfId="4174" xr:uid="{406B490A-1746-4660-8D31-54F4C5A0797F}"/>
    <cellStyle name="Normal 3 2 2 2 2 2 2 2 2 2 2 2 2 3 6 2" xfId="8743" xr:uid="{4672B08D-F92D-437E-9890-38C5C1ACF920}"/>
    <cellStyle name="Normal 3 2 2 2 2 2 2 2 2 2 2 2 2 3 7" xfId="6452" xr:uid="{9F21BC3A-C604-4C50-A83C-41EB0C3C13AD}"/>
    <cellStyle name="Normal 3 2 2 2 2 2 2 2 2 2 2 2 2 3 8" xfId="1532" xr:uid="{ED3D0DF6-3536-43F5-8A81-641F2041DE76}"/>
    <cellStyle name="Normal 3 2 2 2 2 2 2 2 2 2 2 2 2 4" xfId="624" xr:uid="{00000000-0005-0000-0000-00008E030000}"/>
    <cellStyle name="Normal 3 2 2 2 2 2 2 2 2 2 2 2 2 4 2" xfId="1821" xr:uid="{DFDD4ED1-0C88-4FA4-9CB7-CCC9088E5A63}"/>
    <cellStyle name="Normal 3 2 2 2 2 2 2 2 2 2 2 2 2 4 2 2" xfId="2368" xr:uid="{AE357006-52D6-405B-8ED1-DF380D81B10F}"/>
    <cellStyle name="Normal 3 2 2 2 2 2 2 2 2 2 2 2 2 4 2 2 2" xfId="3379" xr:uid="{E786F786-30E1-47E7-8A6C-468C272F9846}"/>
    <cellStyle name="Normal 3 2 2 2 2 2 2 2 2 2 2 2 2 4 2 2 2 2" xfId="5803" xr:uid="{836F58FE-281C-4F70-BB7B-B87CD79C7D26}"/>
    <cellStyle name="Normal 3 2 2 2 2 2 2 2 2 2 2 2 2 4 2 2 2 2 2" xfId="10371" xr:uid="{185BD015-9CEE-41E2-807A-7905B442A133}"/>
    <cellStyle name="Normal 3 2 2 2 2 2 2 2 2 2 2 2 2 4 2 2 2 3" xfId="8079" xr:uid="{D328A52A-E576-4166-9D77-6153051F003C}"/>
    <cellStyle name="Normal 3 2 2 2 2 2 2 2 2 2 2 2 2 4 2 2 3" xfId="4794" xr:uid="{E545AAC1-7BB4-4CE9-A0A4-B49EF917B056}"/>
    <cellStyle name="Normal 3 2 2 2 2 2 2 2 2 2 2 2 2 4 2 2 3 2" xfId="9362" xr:uid="{5F1517B9-9DB7-410A-9FC4-66EF36DF91BA}"/>
    <cellStyle name="Normal 3 2 2 2 2 2 2 2 2 2 2 2 2 4 2 2 4" xfId="7070" xr:uid="{026258C6-AC63-45F7-89B2-734B771B43E4}"/>
    <cellStyle name="Normal 3 2 2 2 2 2 2 2 2 2 2 2 2 4 2 3" xfId="2951" xr:uid="{0D9FF851-9C66-4A54-86CA-BFA058A1E1C8}"/>
    <cellStyle name="Normal 3 2 2 2 2 2 2 2 2 2 2 2 2 4 2 3 2" xfId="5375" xr:uid="{680A112F-20C7-4104-BFC7-7869535F4A83}"/>
    <cellStyle name="Normal 3 2 2 2 2 2 2 2 2 2 2 2 2 4 2 3 2 2" xfId="9943" xr:uid="{8A3B5B1D-E7BC-4048-A9B8-2C58F3C47EBC}"/>
    <cellStyle name="Normal 3 2 2 2 2 2 2 2 2 2 2 2 2 4 2 3 3" xfId="7651" xr:uid="{816EF599-B3FC-4F93-B0CD-6BBF82372DE1}"/>
    <cellStyle name="Normal 3 2 2 2 2 2 2 2 2 2 2 2 2 4 2 4" xfId="4366" xr:uid="{5100D7BC-B639-44E4-8434-1A8078963761}"/>
    <cellStyle name="Normal 3 2 2 2 2 2 2 2 2 2 2 2 2 4 2 4 2" xfId="8934" xr:uid="{8F79DB35-330B-422D-B067-1ECE231F74BF}"/>
    <cellStyle name="Normal 3 2 2 2 2 2 2 2 2 2 2 2 2 4 2 5" xfId="6642" xr:uid="{2222DB58-D948-4327-9B9F-853E1F951A19}"/>
    <cellStyle name="Normal 3 2 2 2 2 2 2 2 2 2 2 2 2 4 3" xfId="2179" xr:uid="{37185FE4-F2DC-4230-A8E2-F5D3AB612D4C}"/>
    <cellStyle name="Normal 3 2 2 2 2 2 2 2 2 2 2 2 2 4 3 2" xfId="3192" xr:uid="{C3B62CAE-2003-404D-A208-CD8DD2ACA6FD}"/>
    <cellStyle name="Normal 3 2 2 2 2 2 2 2 2 2 2 2 2 4 3 2 2" xfId="5616" xr:uid="{92A05029-2A8D-410C-B64D-7490F8D04E73}"/>
    <cellStyle name="Normal 3 2 2 2 2 2 2 2 2 2 2 2 2 4 3 2 2 2" xfId="10184" xr:uid="{DB6B2B22-B192-472C-A853-AC5438BB48F0}"/>
    <cellStyle name="Normal 3 2 2 2 2 2 2 2 2 2 2 2 2 4 3 2 3" xfId="7892" xr:uid="{B0AEA082-0888-4820-A8F5-83B3C583FC3C}"/>
    <cellStyle name="Normal 3 2 2 2 2 2 2 2 2 2 2 2 2 4 3 3" xfId="4607" xr:uid="{61DE7196-53EA-4A0E-AD51-6C72715B6F74}"/>
    <cellStyle name="Normal 3 2 2 2 2 2 2 2 2 2 2 2 2 4 3 3 2" xfId="9175" xr:uid="{B563B4E2-13E7-44B4-B97C-42E2AF1A2C38}"/>
    <cellStyle name="Normal 3 2 2 2 2 2 2 2 2 2 2 2 2 4 3 4" xfId="6883" xr:uid="{54552A77-D5E6-47E1-89EF-EC790D0733A9}"/>
    <cellStyle name="Normal 3 2 2 2 2 2 2 2 2 2 2 2 2 4 4" xfId="2761" xr:uid="{21D001A7-3295-471F-B0D4-ED7A8078D1E7}"/>
    <cellStyle name="Normal 3 2 2 2 2 2 2 2 2 2 2 2 2 4 4 2" xfId="5186" xr:uid="{59C1B129-492E-4341-9B0E-9519F71F9B22}"/>
    <cellStyle name="Normal 3 2 2 2 2 2 2 2 2 2 2 2 2 4 4 2 2" xfId="9754" xr:uid="{E63924C9-43C1-4C01-B69D-5F41A074BC92}"/>
    <cellStyle name="Normal 3 2 2 2 2 2 2 2 2 2 2 2 2 4 4 3" xfId="7462" xr:uid="{5F744301-C7E8-4922-9FE3-EF74F7B46EDA}"/>
    <cellStyle name="Normal 3 2 2 2 2 2 2 2 2 2 2 2 2 4 5" xfId="4176" xr:uid="{CCAD6FED-AEE0-4F9C-A942-EF67E5C410B0}"/>
    <cellStyle name="Normal 3 2 2 2 2 2 2 2 2 2 2 2 2 4 5 2" xfId="8745" xr:uid="{5F34829B-FE48-4984-A1AD-09D223A89BA3}"/>
    <cellStyle name="Normal 3 2 2 2 2 2 2 2 2 2 2 2 2 4 6" xfId="6454" xr:uid="{982C9326-8891-460C-B0D4-57EE23088565}"/>
    <cellStyle name="Normal 3 2 2 2 2 2 2 2 2 2 2 2 2 4 7" xfId="1534" xr:uid="{649A3B6B-4AE4-4C70-B23D-32DA1F034AF4}"/>
    <cellStyle name="Normal 3 2 2 2 2 2 2 2 2 2 2 2 2 5" xfId="1816" xr:uid="{3F5C200F-A2C8-49B2-B101-FBBA0A57D0C9}"/>
    <cellStyle name="Normal 3 2 2 2 2 2 2 2 2 2 2 2 2 5 2" xfId="2363" xr:uid="{D1BE94A2-3D46-45E5-8280-E5C1F5F311C1}"/>
    <cellStyle name="Normal 3 2 2 2 2 2 2 2 2 2 2 2 2 5 2 2" xfId="3374" xr:uid="{D0C330FA-652F-4642-9F0F-48D3EBA8E8E2}"/>
    <cellStyle name="Normal 3 2 2 2 2 2 2 2 2 2 2 2 2 5 2 2 2" xfId="5798" xr:uid="{BD7E5999-1BDD-4711-940D-0C9E3F53C263}"/>
    <cellStyle name="Normal 3 2 2 2 2 2 2 2 2 2 2 2 2 5 2 2 2 2" xfId="10366" xr:uid="{0B083470-FF92-4D01-8D84-41375FCAE640}"/>
    <cellStyle name="Normal 3 2 2 2 2 2 2 2 2 2 2 2 2 5 2 2 3" xfId="8074" xr:uid="{FC0E7E14-24D5-4BE8-80BA-DE2AF32C0C39}"/>
    <cellStyle name="Normal 3 2 2 2 2 2 2 2 2 2 2 2 2 5 2 3" xfId="4789" xr:uid="{51FF2304-D977-485D-9DF0-C967CB06FD35}"/>
    <cellStyle name="Normal 3 2 2 2 2 2 2 2 2 2 2 2 2 5 2 3 2" xfId="9357" xr:uid="{7F802E9D-51B9-463A-9E16-515BD6597074}"/>
    <cellStyle name="Normal 3 2 2 2 2 2 2 2 2 2 2 2 2 5 2 4" xfId="7065" xr:uid="{DDDD77F7-29B9-446A-9BD8-66B9F4AAA06A}"/>
    <cellStyle name="Normal 3 2 2 2 2 2 2 2 2 2 2 2 2 5 3" xfId="2946" xr:uid="{904A1769-E58E-43BC-B17F-4B0D79712A6A}"/>
    <cellStyle name="Normal 3 2 2 2 2 2 2 2 2 2 2 2 2 5 3 2" xfId="5370" xr:uid="{33A03036-3A91-4C2C-90A0-BD2340B63A13}"/>
    <cellStyle name="Normal 3 2 2 2 2 2 2 2 2 2 2 2 2 5 3 2 2" xfId="9938" xr:uid="{16352391-CA6E-43BD-9053-CC06DB5B9741}"/>
    <cellStyle name="Normal 3 2 2 2 2 2 2 2 2 2 2 2 2 5 3 3" xfId="7646" xr:uid="{D9946A4F-F5F0-4A78-B38A-E672F7D23748}"/>
    <cellStyle name="Normal 3 2 2 2 2 2 2 2 2 2 2 2 2 5 4" xfId="4361" xr:uid="{D713C060-E820-46C4-9712-19C72830F915}"/>
    <cellStyle name="Normal 3 2 2 2 2 2 2 2 2 2 2 2 2 5 4 2" xfId="8929" xr:uid="{C7697E26-C49F-4983-9D22-F9DB39FCABEB}"/>
    <cellStyle name="Normal 3 2 2 2 2 2 2 2 2 2 2 2 2 5 5" xfId="6637" xr:uid="{ECBD4AC5-23EF-4804-94D3-1EEF5564534C}"/>
    <cellStyle name="Normal 3 2 2 2 2 2 2 2 2 2 2 2 2 6" xfId="2174" xr:uid="{3A93852F-4DBE-4AD3-BBFB-21B531DBFD15}"/>
    <cellStyle name="Normal 3 2 2 2 2 2 2 2 2 2 2 2 2 6 2" xfId="3187" xr:uid="{B51392BD-08BE-4C3B-A195-9073B5E8AE1A}"/>
    <cellStyle name="Normal 3 2 2 2 2 2 2 2 2 2 2 2 2 6 2 2" xfId="5611" xr:uid="{4FB6B9CC-9B32-4002-8BFF-E2CA50C47F46}"/>
    <cellStyle name="Normal 3 2 2 2 2 2 2 2 2 2 2 2 2 6 2 2 2" xfId="10179" xr:uid="{C0D45060-A993-4E55-A568-1EFF451D5872}"/>
    <cellStyle name="Normal 3 2 2 2 2 2 2 2 2 2 2 2 2 6 2 3" xfId="7887" xr:uid="{9EAB7924-3698-4983-AF55-E393BC4C21CA}"/>
    <cellStyle name="Normal 3 2 2 2 2 2 2 2 2 2 2 2 2 6 3" xfId="4602" xr:uid="{BFEFD6D8-6FB3-497B-9F2E-98460390B384}"/>
    <cellStyle name="Normal 3 2 2 2 2 2 2 2 2 2 2 2 2 6 3 2" xfId="9170" xr:uid="{183C9137-5176-44EF-A584-254B48E6450F}"/>
    <cellStyle name="Normal 3 2 2 2 2 2 2 2 2 2 2 2 2 6 4" xfId="6878" xr:uid="{0134D79F-B060-4D55-A25E-5580CC71EA3E}"/>
    <cellStyle name="Normal 3 2 2 2 2 2 2 2 2 2 2 2 2 7" xfId="2756" xr:uid="{E8730C5E-4120-4F27-9563-E925E895F37E}"/>
    <cellStyle name="Normal 3 2 2 2 2 2 2 2 2 2 2 2 2 7 2" xfId="5181" xr:uid="{43B6A00B-46B7-4AEB-A8DC-1580D77EE098}"/>
    <cellStyle name="Normal 3 2 2 2 2 2 2 2 2 2 2 2 2 7 2 2" xfId="9749" xr:uid="{C70EB50D-0F64-48D8-A95D-29C2FE246559}"/>
    <cellStyle name="Normal 3 2 2 2 2 2 2 2 2 2 2 2 2 7 3" xfId="7457" xr:uid="{F03C2C57-0A3B-4254-BFE5-DEF29E90B9DE}"/>
    <cellStyle name="Normal 3 2 2 2 2 2 2 2 2 2 2 2 2 8" xfId="4171" xr:uid="{6B13D32D-1AC3-41FD-A7BA-136CFFC711F8}"/>
    <cellStyle name="Normal 3 2 2 2 2 2 2 2 2 2 2 2 2 8 2" xfId="8740" xr:uid="{E88073F7-B3B2-4A66-B445-6E44D2B435D1}"/>
    <cellStyle name="Normal 3 2 2 2 2 2 2 2 2 2 2 2 2 9" xfId="6449" xr:uid="{9C91B4BA-7080-462E-87E7-8B723E3B3F0A}"/>
    <cellStyle name="Normal 3 2 2 2 2 2 2 2 2 2 2 2 3" xfId="625" xr:uid="{00000000-0005-0000-0000-00008F030000}"/>
    <cellStyle name="Normal 3 2 2 2 2 2 2 2 2 2 2 2 3 2" xfId="1822" xr:uid="{404F9B4F-0FA5-4EAB-8BB1-D91AC334A1F0}"/>
    <cellStyle name="Normal 3 2 2 2 2 2 2 2 2 2 2 2 3 2 2" xfId="2369" xr:uid="{D99B00C9-1170-4130-AAF5-92EDEB51F435}"/>
    <cellStyle name="Normal 3 2 2 2 2 2 2 2 2 2 2 2 3 2 2 2" xfId="3380" xr:uid="{778AD442-1CFF-4CBD-848D-E578E956B666}"/>
    <cellStyle name="Normal 3 2 2 2 2 2 2 2 2 2 2 2 3 2 2 2 2" xfId="5804" xr:uid="{C6C0FC5A-99B6-42FA-9BDC-6F7276ED9869}"/>
    <cellStyle name="Normal 3 2 2 2 2 2 2 2 2 2 2 2 3 2 2 2 2 2" xfId="10372" xr:uid="{20518CE8-4C6C-417D-9E5B-F5406C0B86AE}"/>
    <cellStyle name="Normal 3 2 2 2 2 2 2 2 2 2 2 2 3 2 2 2 3" xfId="8080" xr:uid="{889BF4ED-3F02-4881-BC2F-6F6FF8CA7DBD}"/>
    <cellStyle name="Normal 3 2 2 2 2 2 2 2 2 2 2 2 3 2 2 3" xfId="4795" xr:uid="{27FF31E8-BEAD-4EF2-AC04-91914019CAF9}"/>
    <cellStyle name="Normal 3 2 2 2 2 2 2 2 2 2 2 2 3 2 2 3 2" xfId="9363" xr:uid="{4852273D-30E3-48B4-B4C5-EBCB057D639F}"/>
    <cellStyle name="Normal 3 2 2 2 2 2 2 2 2 2 2 2 3 2 2 4" xfId="7071" xr:uid="{333ED9F6-CA3C-4E8F-A772-1962E9263728}"/>
    <cellStyle name="Normal 3 2 2 2 2 2 2 2 2 2 2 2 3 2 3" xfId="2952" xr:uid="{BADC0B67-F95F-41C5-B0C0-C3EBD5DE8B32}"/>
    <cellStyle name="Normal 3 2 2 2 2 2 2 2 2 2 2 2 3 2 3 2" xfId="5376" xr:uid="{44E1DD3A-02D4-4718-ADBC-27CA469F376B}"/>
    <cellStyle name="Normal 3 2 2 2 2 2 2 2 2 2 2 2 3 2 3 2 2" xfId="9944" xr:uid="{13E66DEE-4B55-4F6C-85AC-11986613BB59}"/>
    <cellStyle name="Normal 3 2 2 2 2 2 2 2 2 2 2 2 3 2 3 3" xfId="7652" xr:uid="{6174D9F4-64ED-4C81-8AD4-C5FB3756AB4A}"/>
    <cellStyle name="Normal 3 2 2 2 2 2 2 2 2 2 2 2 3 2 4" xfId="4367" xr:uid="{7C34E988-B7F4-4233-969E-1AB54E0738B8}"/>
    <cellStyle name="Normal 3 2 2 2 2 2 2 2 2 2 2 2 3 2 4 2" xfId="8935" xr:uid="{4761DECB-CCB0-4FA9-968F-AF9912768B55}"/>
    <cellStyle name="Normal 3 2 2 2 2 2 2 2 2 2 2 2 3 2 5" xfId="6643" xr:uid="{737F22C0-5694-425A-A71F-C4325DA45CB4}"/>
    <cellStyle name="Normal 3 2 2 2 2 2 2 2 2 2 2 2 3 3" xfId="2180" xr:uid="{FFAF7AC3-2786-4913-993B-5FCE4635B15C}"/>
    <cellStyle name="Normal 3 2 2 2 2 2 2 2 2 2 2 2 3 3 2" xfId="3193" xr:uid="{A9EB4A2D-72ED-46CE-8FDE-FE98501DF4FE}"/>
    <cellStyle name="Normal 3 2 2 2 2 2 2 2 2 2 2 2 3 3 2 2" xfId="5617" xr:uid="{33CF2102-7486-416A-AE0E-6A56EA90BA2E}"/>
    <cellStyle name="Normal 3 2 2 2 2 2 2 2 2 2 2 2 3 3 2 2 2" xfId="10185" xr:uid="{55419A98-F766-4FFC-AF42-4D12DCB9F4F3}"/>
    <cellStyle name="Normal 3 2 2 2 2 2 2 2 2 2 2 2 3 3 2 3" xfId="7893" xr:uid="{D732575E-6125-446B-961B-0CC8342962E5}"/>
    <cellStyle name="Normal 3 2 2 2 2 2 2 2 2 2 2 2 3 3 3" xfId="4608" xr:uid="{93EF27EE-5B0A-4A06-A7B3-9EF086B5E024}"/>
    <cellStyle name="Normal 3 2 2 2 2 2 2 2 2 2 2 2 3 3 3 2" xfId="9176" xr:uid="{C395CBAC-E153-4A22-9C43-DE27EE93DEF3}"/>
    <cellStyle name="Normal 3 2 2 2 2 2 2 2 2 2 2 2 3 3 4" xfId="6884" xr:uid="{5781CBB0-5537-40A5-A1C1-881062699E79}"/>
    <cellStyle name="Normal 3 2 2 2 2 2 2 2 2 2 2 2 3 4" xfId="2762" xr:uid="{005EBEED-B90E-4E15-BD3B-E0E41AE64CB0}"/>
    <cellStyle name="Normal 3 2 2 2 2 2 2 2 2 2 2 2 3 4 2" xfId="5187" xr:uid="{B8E0F793-9976-48D4-AE7D-A3FEBF433AF4}"/>
    <cellStyle name="Normal 3 2 2 2 2 2 2 2 2 2 2 2 3 4 2 2" xfId="9755" xr:uid="{62B91949-B0EE-40A2-9D33-0E545FB6EC77}"/>
    <cellStyle name="Normal 3 2 2 2 2 2 2 2 2 2 2 2 3 4 3" xfId="7463" xr:uid="{8AE500E1-B841-4E31-B714-315B03DC4C48}"/>
    <cellStyle name="Normal 3 2 2 2 2 2 2 2 2 2 2 2 3 5" xfId="4177" xr:uid="{601D7436-7CDA-4D87-A7EF-1FA9BC40765A}"/>
    <cellStyle name="Normal 3 2 2 2 2 2 2 2 2 2 2 2 3 5 2" xfId="8746" xr:uid="{67CC3DE9-092C-4BDB-AD03-A0C340FA1C6C}"/>
    <cellStyle name="Normal 3 2 2 2 2 2 2 2 2 2 2 2 3 6" xfId="6455" xr:uid="{BC8D681C-5B73-4E43-A292-4A0041ACBD2C}"/>
    <cellStyle name="Normal 3 2 2 2 2 2 2 2 2 2 2 2 3 7" xfId="1535" xr:uid="{16A1A057-CAE8-4DA4-9B2C-6F4F85A1C966}"/>
    <cellStyle name="Normal 3 2 2 2 2 2 2 2 2 2 2 2 4" xfId="1815" xr:uid="{BD3A3E68-3FA0-4914-AFEC-CC4502D2268E}"/>
    <cellStyle name="Normal 3 2 2 2 2 2 2 2 2 2 2 2 4 2" xfId="2362" xr:uid="{3CBD3A7A-CF96-4590-9B9E-2EF4D6EA50C6}"/>
    <cellStyle name="Normal 3 2 2 2 2 2 2 2 2 2 2 2 4 2 2" xfId="3373" xr:uid="{C9B55130-9558-4EFF-86DD-6377B5F6A952}"/>
    <cellStyle name="Normal 3 2 2 2 2 2 2 2 2 2 2 2 4 2 2 2" xfId="5797" xr:uid="{2256D80B-5A6D-4C4C-AFDB-BAF8CBCE1C13}"/>
    <cellStyle name="Normal 3 2 2 2 2 2 2 2 2 2 2 2 4 2 2 2 2" xfId="10365" xr:uid="{9E0ABBA0-797C-435C-BB15-32EF4886010A}"/>
    <cellStyle name="Normal 3 2 2 2 2 2 2 2 2 2 2 2 4 2 2 3" xfId="8073" xr:uid="{36197A3D-AD76-45D0-A79A-89FA085E423F}"/>
    <cellStyle name="Normal 3 2 2 2 2 2 2 2 2 2 2 2 4 2 3" xfId="4788" xr:uid="{650F882A-3520-4F95-85CE-3303F53D3DFD}"/>
    <cellStyle name="Normal 3 2 2 2 2 2 2 2 2 2 2 2 4 2 3 2" xfId="9356" xr:uid="{6572EE6D-083B-4130-B80D-CD80474A6D8B}"/>
    <cellStyle name="Normal 3 2 2 2 2 2 2 2 2 2 2 2 4 2 4" xfId="7064" xr:uid="{1134AFB0-A60B-4D23-961E-4CA2FE910183}"/>
    <cellStyle name="Normal 3 2 2 2 2 2 2 2 2 2 2 2 4 3" xfId="2945" xr:uid="{ADD8EC0F-BDB0-422E-8D5F-0B9F22086EBC}"/>
    <cellStyle name="Normal 3 2 2 2 2 2 2 2 2 2 2 2 4 3 2" xfId="5369" xr:uid="{CB8C6196-D1F3-4513-B19B-FF18202FC1C0}"/>
    <cellStyle name="Normal 3 2 2 2 2 2 2 2 2 2 2 2 4 3 2 2" xfId="9937" xr:uid="{C54855FC-8581-48C4-8D55-0F4FFD04A02C}"/>
    <cellStyle name="Normal 3 2 2 2 2 2 2 2 2 2 2 2 4 3 3" xfId="7645" xr:uid="{CA6BDF84-B949-4D06-B5AA-9B00C63307E5}"/>
    <cellStyle name="Normal 3 2 2 2 2 2 2 2 2 2 2 2 4 4" xfId="4360" xr:uid="{FC457542-1783-4ACA-BE81-CB349CC332E2}"/>
    <cellStyle name="Normal 3 2 2 2 2 2 2 2 2 2 2 2 4 4 2" xfId="8928" xr:uid="{992CC0BD-1A5E-42D0-8177-D317679DCBBC}"/>
    <cellStyle name="Normal 3 2 2 2 2 2 2 2 2 2 2 2 4 5" xfId="6636" xr:uid="{E154E82D-D123-4841-86F2-F7A19C07EBBE}"/>
    <cellStyle name="Normal 3 2 2 2 2 2 2 2 2 2 2 2 5" xfId="2173" xr:uid="{07BFBA70-F9C0-4850-8306-B727B27E42CC}"/>
    <cellStyle name="Normal 3 2 2 2 2 2 2 2 2 2 2 2 5 2" xfId="3186" xr:uid="{D92688F8-01B0-4E44-8CF1-3FB1DB03224F}"/>
    <cellStyle name="Normal 3 2 2 2 2 2 2 2 2 2 2 2 5 2 2" xfId="5610" xr:uid="{BB627761-20E9-4EFD-9D74-3543DBEF0EDC}"/>
    <cellStyle name="Normal 3 2 2 2 2 2 2 2 2 2 2 2 5 2 2 2" xfId="10178" xr:uid="{7C3E54BC-6820-4FE2-A0A9-A93B50EA19AD}"/>
    <cellStyle name="Normal 3 2 2 2 2 2 2 2 2 2 2 2 5 2 3" xfId="7886" xr:uid="{F69C5E17-3E8F-4029-95DC-E8D009E703BA}"/>
    <cellStyle name="Normal 3 2 2 2 2 2 2 2 2 2 2 2 5 3" xfId="4601" xr:uid="{BAE8C2D0-41E0-44E7-B67E-B815B14C0965}"/>
    <cellStyle name="Normal 3 2 2 2 2 2 2 2 2 2 2 2 5 3 2" xfId="9169" xr:uid="{87C14EBF-E749-455E-BE26-14E9A091E4F4}"/>
    <cellStyle name="Normal 3 2 2 2 2 2 2 2 2 2 2 2 5 4" xfId="6877" xr:uid="{3B07F4C3-58C4-428E-930A-3E5E353492C0}"/>
    <cellStyle name="Normal 3 2 2 2 2 2 2 2 2 2 2 2 6" xfId="2755" xr:uid="{A3F5DDC5-72BF-4023-B8A2-0B3344ECEDE0}"/>
    <cellStyle name="Normal 3 2 2 2 2 2 2 2 2 2 2 2 6 2" xfId="5180" xr:uid="{CBB060C0-CA10-4243-958E-1BC3563656A1}"/>
    <cellStyle name="Normal 3 2 2 2 2 2 2 2 2 2 2 2 6 2 2" xfId="9748" xr:uid="{42F3E9F7-480A-441C-829D-49CBBFFDB77E}"/>
    <cellStyle name="Normal 3 2 2 2 2 2 2 2 2 2 2 2 6 3" xfId="7456" xr:uid="{908B4CDC-2ACF-42B8-B929-7F59EB41B6EA}"/>
    <cellStyle name="Normal 3 2 2 2 2 2 2 2 2 2 2 2 7" xfId="4170" xr:uid="{4AD58AB7-E390-4922-80D1-E7A9BABC187E}"/>
    <cellStyle name="Normal 3 2 2 2 2 2 2 2 2 2 2 2 7 2" xfId="8739" xr:uid="{E52A8ECD-1708-4C36-8EC7-242C9468C7F7}"/>
    <cellStyle name="Normal 3 2 2 2 2 2 2 2 2 2 2 2 8" xfId="6448" xr:uid="{1316C02A-AC72-4CBA-B562-D4973BB9D943}"/>
    <cellStyle name="Normal 3 2 2 2 2 2 2 2 2 2 2 2 9" xfId="1528" xr:uid="{FD96FB7D-BB5A-458C-BB64-3EBFC5253AE6}"/>
    <cellStyle name="Normal 3 2 2 2 2 2 2 2 2 2 2 3" xfId="626" xr:uid="{00000000-0005-0000-0000-000090030000}"/>
    <cellStyle name="Normal 3 2 2 2 2 2 2 2 2 2 2 3 2" xfId="1823" xr:uid="{BB3151E2-3FEF-4C9E-B9CB-F3C048756D0C}"/>
    <cellStyle name="Normal 3 2 2 2 2 2 2 2 2 2 2 3 2 2" xfId="2370" xr:uid="{B7240C8B-0A3D-4C61-997B-72956182CAA1}"/>
    <cellStyle name="Normal 3 2 2 2 2 2 2 2 2 2 2 3 2 2 2" xfId="3381" xr:uid="{BA512DE6-E443-4E90-87DE-347C1BA5923F}"/>
    <cellStyle name="Normal 3 2 2 2 2 2 2 2 2 2 2 3 2 2 2 2" xfId="5805" xr:uid="{708A200A-945B-4E1E-8B49-6FBBEB094E17}"/>
    <cellStyle name="Normal 3 2 2 2 2 2 2 2 2 2 2 3 2 2 2 2 2" xfId="10373" xr:uid="{4EFDD451-F0FE-44D9-B274-ED83A5D073D3}"/>
    <cellStyle name="Normal 3 2 2 2 2 2 2 2 2 2 2 3 2 2 2 3" xfId="8081" xr:uid="{0722241D-4BD5-4C5A-A332-77144CCBFB5D}"/>
    <cellStyle name="Normal 3 2 2 2 2 2 2 2 2 2 2 3 2 2 3" xfId="4796" xr:uid="{5E88EB50-3E08-46AA-9BCB-352FAD81FADD}"/>
    <cellStyle name="Normal 3 2 2 2 2 2 2 2 2 2 2 3 2 2 3 2" xfId="9364" xr:uid="{C4C00568-1348-4518-9938-04EE5146E532}"/>
    <cellStyle name="Normal 3 2 2 2 2 2 2 2 2 2 2 3 2 2 4" xfId="7072" xr:uid="{D276137F-FCFE-4984-84E8-62D983C2134E}"/>
    <cellStyle name="Normal 3 2 2 2 2 2 2 2 2 2 2 3 2 3" xfId="2953" xr:uid="{057118BA-1361-4881-A2E2-20812B5BFEEE}"/>
    <cellStyle name="Normal 3 2 2 2 2 2 2 2 2 2 2 3 2 3 2" xfId="5377" xr:uid="{EB4DD9E1-EB0E-4E77-A8DC-EF69B396B6CB}"/>
    <cellStyle name="Normal 3 2 2 2 2 2 2 2 2 2 2 3 2 3 2 2" xfId="9945" xr:uid="{033EF23D-89AC-4351-BEB5-DE4AB4DE9F9B}"/>
    <cellStyle name="Normal 3 2 2 2 2 2 2 2 2 2 2 3 2 3 3" xfId="7653" xr:uid="{F1CD15B7-21E4-471E-A767-7957C18215C9}"/>
    <cellStyle name="Normal 3 2 2 2 2 2 2 2 2 2 2 3 2 4" xfId="4368" xr:uid="{0BDCF526-2CDC-4909-8006-38E2394088FB}"/>
    <cellStyle name="Normal 3 2 2 2 2 2 2 2 2 2 2 3 2 4 2" xfId="8936" xr:uid="{D327503F-7A3E-4349-8239-262EB3EE260F}"/>
    <cellStyle name="Normal 3 2 2 2 2 2 2 2 2 2 2 3 2 5" xfId="6644" xr:uid="{7305F32C-5303-4765-ADE4-B87E41DFF41A}"/>
    <cellStyle name="Normal 3 2 2 2 2 2 2 2 2 2 2 3 3" xfId="2181" xr:uid="{3F8A6B9F-26E2-4FED-89E9-380CDC4D75B7}"/>
    <cellStyle name="Normal 3 2 2 2 2 2 2 2 2 2 2 3 3 2" xfId="3194" xr:uid="{E06D4FF4-B543-428F-8D67-384B4B42EA11}"/>
    <cellStyle name="Normal 3 2 2 2 2 2 2 2 2 2 2 3 3 2 2" xfId="5618" xr:uid="{CCB1EC72-5950-47C2-A3A4-B1EEAE3461A4}"/>
    <cellStyle name="Normal 3 2 2 2 2 2 2 2 2 2 2 3 3 2 2 2" xfId="10186" xr:uid="{A8FCE30B-6D0F-4033-9BD9-24355DAE97BC}"/>
    <cellStyle name="Normal 3 2 2 2 2 2 2 2 2 2 2 3 3 2 3" xfId="7894" xr:uid="{347B6028-8009-4338-BCB5-27415BEFB867}"/>
    <cellStyle name="Normal 3 2 2 2 2 2 2 2 2 2 2 3 3 3" xfId="4609" xr:uid="{236299A0-D763-44AA-A46C-8873D6867A27}"/>
    <cellStyle name="Normal 3 2 2 2 2 2 2 2 2 2 2 3 3 3 2" xfId="9177" xr:uid="{E36E54FB-FB76-48E9-B672-9F8556021F41}"/>
    <cellStyle name="Normal 3 2 2 2 2 2 2 2 2 2 2 3 3 4" xfId="6885" xr:uid="{42083554-2DF9-4F13-BCB8-FF19373EA8D4}"/>
    <cellStyle name="Normal 3 2 2 2 2 2 2 2 2 2 2 3 4" xfId="2763" xr:uid="{1C5C318F-9E5D-46B7-83E2-24186673AC49}"/>
    <cellStyle name="Normal 3 2 2 2 2 2 2 2 2 2 2 3 4 2" xfId="5188" xr:uid="{2E1117CD-383C-4728-A516-EB660548C37B}"/>
    <cellStyle name="Normal 3 2 2 2 2 2 2 2 2 2 2 3 4 2 2" xfId="9756" xr:uid="{CE4B20E2-7BE1-46C7-A9B7-22E083465ADF}"/>
    <cellStyle name="Normal 3 2 2 2 2 2 2 2 2 2 2 3 4 3" xfId="7464" xr:uid="{C3D2DAC6-6282-4A6B-80F2-48852D43293F}"/>
    <cellStyle name="Normal 3 2 2 2 2 2 2 2 2 2 2 3 5" xfId="4178" xr:uid="{6C560911-33C2-42B8-88F4-77B453034F03}"/>
    <cellStyle name="Normal 3 2 2 2 2 2 2 2 2 2 2 3 5 2" xfId="8747" xr:uid="{2C584FCE-E700-4422-8587-9ABAA5CCA0E0}"/>
    <cellStyle name="Normal 3 2 2 2 2 2 2 2 2 2 2 3 6" xfId="6456" xr:uid="{F65AD938-771C-45EE-9C58-FF589203E711}"/>
    <cellStyle name="Normal 3 2 2 2 2 2 2 2 2 2 2 3 7" xfId="1536" xr:uid="{D09F1E07-44A4-4784-BE2D-45E9F2CC9B1E}"/>
    <cellStyle name="Normal 3 2 2 2 2 2 2 2 2 2 2 4" xfId="1814" xr:uid="{722A2F5A-58A9-4769-B461-7FEAC8C48039}"/>
    <cellStyle name="Normal 3 2 2 2 2 2 2 2 2 2 2 4 2" xfId="2361" xr:uid="{FAEE1BE8-6C51-46EB-90F5-74191FB42828}"/>
    <cellStyle name="Normal 3 2 2 2 2 2 2 2 2 2 2 4 2 2" xfId="3372" xr:uid="{74FF249B-F5BC-4E0F-9019-30D0FF52893C}"/>
    <cellStyle name="Normal 3 2 2 2 2 2 2 2 2 2 2 4 2 2 2" xfId="5796" xr:uid="{1CB88D71-240F-4871-A2E1-EFE67F775DDC}"/>
    <cellStyle name="Normal 3 2 2 2 2 2 2 2 2 2 2 4 2 2 2 2" xfId="10364" xr:uid="{252D4F58-A834-4EC8-BD9B-6128AAFB7182}"/>
    <cellStyle name="Normal 3 2 2 2 2 2 2 2 2 2 2 4 2 2 3" xfId="8072" xr:uid="{4D108224-4547-47C8-B33C-29E09084696E}"/>
    <cellStyle name="Normal 3 2 2 2 2 2 2 2 2 2 2 4 2 3" xfId="4787" xr:uid="{13BA30DF-0072-428D-8702-E3F27452C51C}"/>
    <cellStyle name="Normal 3 2 2 2 2 2 2 2 2 2 2 4 2 3 2" xfId="9355" xr:uid="{D4867792-D91B-4B74-B736-6F54BCA58D42}"/>
    <cellStyle name="Normal 3 2 2 2 2 2 2 2 2 2 2 4 2 4" xfId="7063" xr:uid="{B007561E-EAA4-437C-B5EC-30D4585AC9A4}"/>
    <cellStyle name="Normal 3 2 2 2 2 2 2 2 2 2 2 4 3" xfId="2944" xr:uid="{50694BD6-E3E0-4CD0-A098-F2AD11C5D485}"/>
    <cellStyle name="Normal 3 2 2 2 2 2 2 2 2 2 2 4 3 2" xfId="5368" xr:uid="{330DF94C-A6F0-4947-AD08-80E23D781C2B}"/>
    <cellStyle name="Normal 3 2 2 2 2 2 2 2 2 2 2 4 3 2 2" xfId="9936" xr:uid="{08057EBB-7B0D-46D6-9913-328DE582692B}"/>
    <cellStyle name="Normal 3 2 2 2 2 2 2 2 2 2 2 4 3 3" xfId="7644" xr:uid="{E7EB4707-454C-4D42-903C-326043C454F8}"/>
    <cellStyle name="Normal 3 2 2 2 2 2 2 2 2 2 2 4 4" xfId="4359" xr:uid="{F405EE18-D5AA-4A81-8180-0721C7B0AE23}"/>
    <cellStyle name="Normal 3 2 2 2 2 2 2 2 2 2 2 4 4 2" xfId="8927" xr:uid="{39B6F9CC-39A6-49B7-A6E3-8F4DA6AAC5E6}"/>
    <cellStyle name="Normal 3 2 2 2 2 2 2 2 2 2 2 4 5" xfId="6635" xr:uid="{ACFF586A-CD42-4C27-A8E3-0A762FE2ABC2}"/>
    <cellStyle name="Normal 3 2 2 2 2 2 2 2 2 2 2 5" xfId="2172" xr:uid="{ACC58203-16A5-4BA0-9F45-3FC3D98AAC86}"/>
    <cellStyle name="Normal 3 2 2 2 2 2 2 2 2 2 2 5 2" xfId="3185" xr:uid="{31708E18-A261-4770-AD21-973B8FEA262F}"/>
    <cellStyle name="Normal 3 2 2 2 2 2 2 2 2 2 2 5 2 2" xfId="5609" xr:uid="{D9227835-B1FA-4A4A-8584-7FD0FE290D1D}"/>
    <cellStyle name="Normal 3 2 2 2 2 2 2 2 2 2 2 5 2 2 2" xfId="10177" xr:uid="{041062CA-BC9D-474E-8598-98A9FE49A562}"/>
    <cellStyle name="Normal 3 2 2 2 2 2 2 2 2 2 2 5 2 3" xfId="7885" xr:uid="{2F982666-A465-49E4-8B61-1020B4ADD040}"/>
    <cellStyle name="Normal 3 2 2 2 2 2 2 2 2 2 2 5 3" xfId="4600" xr:uid="{DFAA3972-22D2-4642-BACF-182E45B50BA3}"/>
    <cellStyle name="Normal 3 2 2 2 2 2 2 2 2 2 2 5 3 2" xfId="9168" xr:uid="{BFFBF08C-CA57-4174-911B-9DB9533DA36C}"/>
    <cellStyle name="Normal 3 2 2 2 2 2 2 2 2 2 2 5 4" xfId="6876" xr:uid="{B6DD844B-00DB-45A5-BAFA-30172FE45A97}"/>
    <cellStyle name="Normal 3 2 2 2 2 2 2 2 2 2 2 6" xfId="2754" xr:uid="{BB2E0EF9-E373-45F0-8105-3CFA7855C6D0}"/>
    <cellStyle name="Normal 3 2 2 2 2 2 2 2 2 2 2 6 2" xfId="5179" xr:uid="{7B580130-0441-4E51-AB5D-32A2F63F52DB}"/>
    <cellStyle name="Normal 3 2 2 2 2 2 2 2 2 2 2 6 2 2" xfId="9747" xr:uid="{E9CADB03-2B4F-4D7F-86A8-CBC957E88529}"/>
    <cellStyle name="Normal 3 2 2 2 2 2 2 2 2 2 2 6 3" xfId="7455" xr:uid="{47495B96-5E38-473E-8F42-1A03D68DA974}"/>
    <cellStyle name="Normal 3 2 2 2 2 2 2 2 2 2 2 7" xfId="4169" xr:uid="{BF0AE1D6-B9DE-4392-A7EF-2A5F3313A829}"/>
    <cellStyle name="Normal 3 2 2 2 2 2 2 2 2 2 2 7 2" xfId="8738" xr:uid="{FCA0D87E-3F55-4574-918A-0D93BEF90D81}"/>
    <cellStyle name="Normal 3 2 2 2 2 2 2 2 2 2 2 8" xfId="6447" xr:uid="{324EDAFE-E2C3-4E7C-BECF-3585C13338FF}"/>
    <cellStyle name="Normal 3 2 2 2 2 2 2 2 2 2 2 9" xfId="1527" xr:uid="{F91247DF-F9E2-477C-AEDC-715065F949F3}"/>
    <cellStyle name="Normal 3 2 2 2 2 2 2 2 2 2 3" xfId="627" xr:uid="{00000000-0005-0000-0000-000091030000}"/>
    <cellStyle name="Normal 3 2 2 2 2 2 2 2 2 2 3 2" xfId="1824" xr:uid="{CE58CBF3-66E8-4D9B-B662-34334C345B4F}"/>
    <cellStyle name="Normal 3 2 2 2 2 2 2 2 2 2 3 2 2" xfId="2371" xr:uid="{F511C922-8651-46F1-9E84-C4206E79A14E}"/>
    <cellStyle name="Normal 3 2 2 2 2 2 2 2 2 2 3 2 2 2" xfId="3382" xr:uid="{07C84766-7221-4413-B210-D42E95860927}"/>
    <cellStyle name="Normal 3 2 2 2 2 2 2 2 2 2 3 2 2 2 2" xfId="5806" xr:uid="{C083A309-D759-4687-995D-CA0551D09D86}"/>
    <cellStyle name="Normal 3 2 2 2 2 2 2 2 2 2 3 2 2 2 2 2" xfId="10374" xr:uid="{8886782D-A4B1-46C1-90CD-9400B0645048}"/>
    <cellStyle name="Normal 3 2 2 2 2 2 2 2 2 2 3 2 2 2 3" xfId="8082" xr:uid="{207664C7-2C0B-4154-8DF1-2D46926ECCA4}"/>
    <cellStyle name="Normal 3 2 2 2 2 2 2 2 2 2 3 2 2 3" xfId="4797" xr:uid="{99CEF260-E2E0-4B37-982C-2955DA0F1484}"/>
    <cellStyle name="Normal 3 2 2 2 2 2 2 2 2 2 3 2 2 3 2" xfId="9365" xr:uid="{D0FD21A4-9D74-412C-96B4-5887E6D271DD}"/>
    <cellStyle name="Normal 3 2 2 2 2 2 2 2 2 2 3 2 2 4" xfId="7073" xr:uid="{2ED19A27-530F-4E1A-8EC7-5A9B8D60BEF7}"/>
    <cellStyle name="Normal 3 2 2 2 2 2 2 2 2 2 3 2 3" xfId="2954" xr:uid="{1BE2B938-8E73-4067-88C0-9645B2A6E7F4}"/>
    <cellStyle name="Normal 3 2 2 2 2 2 2 2 2 2 3 2 3 2" xfId="5378" xr:uid="{A3571174-78AF-490B-8681-3EC823C0D454}"/>
    <cellStyle name="Normal 3 2 2 2 2 2 2 2 2 2 3 2 3 2 2" xfId="9946" xr:uid="{FEB6712D-6399-4665-AAF4-697ECEF33857}"/>
    <cellStyle name="Normal 3 2 2 2 2 2 2 2 2 2 3 2 3 3" xfId="7654" xr:uid="{688EBB35-A2F0-4FFE-9E71-1EF9C4B05A43}"/>
    <cellStyle name="Normal 3 2 2 2 2 2 2 2 2 2 3 2 4" xfId="4369" xr:uid="{89BC510C-9BC3-4388-8712-791E19A39AC3}"/>
    <cellStyle name="Normal 3 2 2 2 2 2 2 2 2 2 3 2 4 2" xfId="8937" xr:uid="{AA7AE121-D9A6-494C-96BE-E6B16208D550}"/>
    <cellStyle name="Normal 3 2 2 2 2 2 2 2 2 2 3 2 5" xfId="6645" xr:uid="{981F9826-1D17-4CC8-9E9C-4E1C8F425952}"/>
    <cellStyle name="Normal 3 2 2 2 2 2 2 2 2 2 3 3" xfId="2182" xr:uid="{BF56D0E8-9F19-4E46-9052-83A0D5084D5C}"/>
    <cellStyle name="Normal 3 2 2 2 2 2 2 2 2 2 3 3 2" xfId="3195" xr:uid="{1EE65A2A-EB04-4ED4-990F-4774B4A8995A}"/>
    <cellStyle name="Normal 3 2 2 2 2 2 2 2 2 2 3 3 2 2" xfId="5619" xr:uid="{9B44E821-78DA-44FE-AB30-3C11A53B109C}"/>
    <cellStyle name="Normal 3 2 2 2 2 2 2 2 2 2 3 3 2 2 2" xfId="10187" xr:uid="{B188B6EA-255C-470B-ACE4-436B035A2B2D}"/>
    <cellStyle name="Normal 3 2 2 2 2 2 2 2 2 2 3 3 2 3" xfId="7895" xr:uid="{6E0E32B4-BBD7-436F-859F-0C94A2C5839F}"/>
    <cellStyle name="Normal 3 2 2 2 2 2 2 2 2 2 3 3 3" xfId="4610" xr:uid="{AF12D2C0-34C1-44F5-93CC-6EA1EB076A35}"/>
    <cellStyle name="Normal 3 2 2 2 2 2 2 2 2 2 3 3 3 2" xfId="9178" xr:uid="{B47CC147-DF1B-4892-9F70-F1614CF47A8F}"/>
    <cellStyle name="Normal 3 2 2 2 2 2 2 2 2 2 3 3 4" xfId="6886" xr:uid="{75C7EC4E-CFC3-41FE-AED7-D65D89B48EAD}"/>
    <cellStyle name="Normal 3 2 2 2 2 2 2 2 2 2 3 4" xfId="2764" xr:uid="{938CEDD1-8B24-479E-8DEF-A1AF63A8D2F3}"/>
    <cellStyle name="Normal 3 2 2 2 2 2 2 2 2 2 3 4 2" xfId="5189" xr:uid="{7F7B15AF-CCEE-45C6-BEC2-61659E8C616E}"/>
    <cellStyle name="Normal 3 2 2 2 2 2 2 2 2 2 3 4 2 2" xfId="9757" xr:uid="{DDE843A1-32BB-4F90-9430-D51E8C81C97D}"/>
    <cellStyle name="Normal 3 2 2 2 2 2 2 2 2 2 3 4 3" xfId="7465" xr:uid="{B48B9427-C25F-4014-8CD8-AD171A1D975F}"/>
    <cellStyle name="Normal 3 2 2 2 2 2 2 2 2 2 3 5" xfId="4179" xr:uid="{8C9773F1-3C79-475C-8B9A-A1C242045347}"/>
    <cellStyle name="Normal 3 2 2 2 2 2 2 2 2 2 3 5 2" xfId="8748" xr:uid="{43F56002-4FA1-4F4C-A68B-D5DE660B5B31}"/>
    <cellStyle name="Normal 3 2 2 2 2 2 2 2 2 2 3 6" xfId="6457" xr:uid="{6A7D8800-4ADC-46E4-A95D-30883C7C12BA}"/>
    <cellStyle name="Normal 3 2 2 2 2 2 2 2 2 2 3 7" xfId="1537" xr:uid="{48982A10-3D7D-4A9B-BE06-1DFA122C9A7D}"/>
    <cellStyle name="Normal 3 2 2 2 2 2 2 2 2 2 4" xfId="1813" xr:uid="{C45349E7-56DC-438F-9C3A-09A860162EDD}"/>
    <cellStyle name="Normal 3 2 2 2 2 2 2 2 2 2 4 2" xfId="2360" xr:uid="{21A3FFFA-6E23-4432-8693-315A7ED360B0}"/>
    <cellStyle name="Normal 3 2 2 2 2 2 2 2 2 2 4 2 2" xfId="3371" xr:uid="{4B71B9B9-122C-4588-A3F6-8BACC691AB77}"/>
    <cellStyle name="Normal 3 2 2 2 2 2 2 2 2 2 4 2 2 2" xfId="5795" xr:uid="{43D3FE06-BE50-4CB5-8E68-768B40F82C1C}"/>
    <cellStyle name="Normal 3 2 2 2 2 2 2 2 2 2 4 2 2 2 2" xfId="10363" xr:uid="{30F16B44-E4B4-4021-8208-4D46A08763A4}"/>
    <cellStyle name="Normal 3 2 2 2 2 2 2 2 2 2 4 2 2 3" xfId="8071" xr:uid="{8460B6C5-DD29-4C41-8E1F-23BF709C7E60}"/>
    <cellStyle name="Normal 3 2 2 2 2 2 2 2 2 2 4 2 3" xfId="4786" xr:uid="{0B870761-CBC9-49D8-B1BD-D61F300E1750}"/>
    <cellStyle name="Normal 3 2 2 2 2 2 2 2 2 2 4 2 3 2" xfId="9354" xr:uid="{F6117CE3-13B1-4F13-BAE9-DC26B7FB6D8E}"/>
    <cellStyle name="Normal 3 2 2 2 2 2 2 2 2 2 4 2 4" xfId="7062" xr:uid="{69E131DE-9CB4-4D78-A4ED-5FF51A0AA16D}"/>
    <cellStyle name="Normal 3 2 2 2 2 2 2 2 2 2 4 3" xfId="2943" xr:uid="{18128095-5F9C-4C8A-9B15-C8AF276038EE}"/>
    <cellStyle name="Normal 3 2 2 2 2 2 2 2 2 2 4 3 2" xfId="5367" xr:uid="{CDEE6E1E-E37D-4E42-8A6F-AD8E7FEC3020}"/>
    <cellStyle name="Normal 3 2 2 2 2 2 2 2 2 2 4 3 2 2" xfId="9935" xr:uid="{F18DA2DB-330B-49A2-A518-121D41964044}"/>
    <cellStyle name="Normal 3 2 2 2 2 2 2 2 2 2 4 3 3" xfId="7643" xr:uid="{1215DFDD-C19D-4813-AD00-54C89DD12512}"/>
    <cellStyle name="Normal 3 2 2 2 2 2 2 2 2 2 4 4" xfId="4358" xr:uid="{2350921A-A415-470E-BC12-A93F57CB9C68}"/>
    <cellStyle name="Normal 3 2 2 2 2 2 2 2 2 2 4 4 2" xfId="8926" xr:uid="{A9046F71-4494-45A5-B82A-8F246DCA1997}"/>
    <cellStyle name="Normal 3 2 2 2 2 2 2 2 2 2 4 5" xfId="6634" xr:uid="{C53FD12B-66A0-4F54-B2D8-3E206B4039B5}"/>
    <cellStyle name="Normal 3 2 2 2 2 2 2 2 2 2 5" xfId="2171" xr:uid="{E2BA11B2-DC17-4761-8F15-C90729095833}"/>
    <cellStyle name="Normal 3 2 2 2 2 2 2 2 2 2 5 2" xfId="3184" xr:uid="{72079D5D-6E1F-426A-A764-7E2EDC368EB5}"/>
    <cellStyle name="Normal 3 2 2 2 2 2 2 2 2 2 5 2 2" xfId="5608" xr:uid="{FA5C7EB8-032B-4014-8FC6-C55B06ED44EB}"/>
    <cellStyle name="Normal 3 2 2 2 2 2 2 2 2 2 5 2 2 2" xfId="10176" xr:uid="{AA1F6131-DD42-4928-A838-66A337FFDBCB}"/>
    <cellStyle name="Normal 3 2 2 2 2 2 2 2 2 2 5 2 3" xfId="7884" xr:uid="{107A538A-AA9C-46C0-8985-0998DCBE768D}"/>
    <cellStyle name="Normal 3 2 2 2 2 2 2 2 2 2 5 3" xfId="4599" xr:uid="{2248BFCF-3525-44BB-8E5F-1C40657A5859}"/>
    <cellStyle name="Normal 3 2 2 2 2 2 2 2 2 2 5 3 2" xfId="9167" xr:uid="{9337EBD3-2791-465B-8FF8-5D922423FC45}"/>
    <cellStyle name="Normal 3 2 2 2 2 2 2 2 2 2 5 4" xfId="6875" xr:uid="{FC4F931F-8CA0-4BC1-9563-8F251F1C1BE1}"/>
    <cellStyle name="Normal 3 2 2 2 2 2 2 2 2 2 6" xfId="2753" xr:uid="{9097B307-16EE-4990-AC26-EFA8772BFD68}"/>
    <cellStyle name="Normal 3 2 2 2 2 2 2 2 2 2 6 2" xfId="5178" xr:uid="{3312557B-8E2A-44A6-8238-F5DF967E3C80}"/>
    <cellStyle name="Normal 3 2 2 2 2 2 2 2 2 2 6 2 2" xfId="9746" xr:uid="{AC738649-BF12-4EB8-B97B-4C5568F0DD9C}"/>
    <cellStyle name="Normal 3 2 2 2 2 2 2 2 2 2 6 3" xfId="7454" xr:uid="{E348E817-D8D8-489B-AB47-C8BB1D505A62}"/>
    <cellStyle name="Normal 3 2 2 2 2 2 2 2 2 2 7" xfId="4168" xr:uid="{C154907A-AAFC-4734-9726-2D894144FBC6}"/>
    <cellStyle name="Normal 3 2 2 2 2 2 2 2 2 2 7 2" xfId="8737" xr:uid="{773A417D-88F6-4C6E-927B-AD5FA7FC4A50}"/>
    <cellStyle name="Normal 3 2 2 2 2 2 2 2 2 2 8" xfId="6446" xr:uid="{8F6DDEF9-D44C-4624-BFE0-A28DE8038733}"/>
    <cellStyle name="Normal 3 2 2 2 2 2 2 2 2 2 9" xfId="1526" xr:uid="{409ABF63-BF02-4ED4-9DED-94B4030A8202}"/>
    <cellStyle name="Normal 3 2 2 2 2 2 2 2 2 3" xfId="628" xr:uid="{00000000-0005-0000-0000-000092030000}"/>
    <cellStyle name="Normal 3 2 2 2 2 2 2 2 2 3 2" xfId="1825" xr:uid="{83D1A741-2C59-40C8-B959-41BFD6625134}"/>
    <cellStyle name="Normal 3 2 2 2 2 2 2 2 2 3 2 2" xfId="2372" xr:uid="{908310DB-2A10-4A3D-8981-30E3A74138D1}"/>
    <cellStyle name="Normal 3 2 2 2 2 2 2 2 2 3 2 2 2" xfId="3383" xr:uid="{00E6585A-7B70-4B60-AB97-16497FFCA8CB}"/>
    <cellStyle name="Normal 3 2 2 2 2 2 2 2 2 3 2 2 2 2" xfId="5807" xr:uid="{C4EB4BBF-5FF3-4B75-94B6-51909675714D}"/>
    <cellStyle name="Normal 3 2 2 2 2 2 2 2 2 3 2 2 2 2 2" xfId="10375" xr:uid="{8AF7D209-89A0-4045-AB02-DA0A40AE5F99}"/>
    <cellStyle name="Normal 3 2 2 2 2 2 2 2 2 3 2 2 2 3" xfId="8083" xr:uid="{94286AA7-800E-4FAA-9C55-BE75C14B732C}"/>
    <cellStyle name="Normal 3 2 2 2 2 2 2 2 2 3 2 2 3" xfId="4798" xr:uid="{59F89DB3-9106-4F06-9D57-9475721C6C0F}"/>
    <cellStyle name="Normal 3 2 2 2 2 2 2 2 2 3 2 2 3 2" xfId="9366" xr:uid="{8D5AD7A1-D4CB-4D2C-AF60-6FB945720466}"/>
    <cellStyle name="Normal 3 2 2 2 2 2 2 2 2 3 2 2 4" xfId="7074" xr:uid="{2B9B57B1-F0C3-4D93-BA24-652CD569FDFB}"/>
    <cellStyle name="Normal 3 2 2 2 2 2 2 2 2 3 2 3" xfId="2955" xr:uid="{E48D4486-6F77-45BA-8623-88116149A1C5}"/>
    <cellStyle name="Normal 3 2 2 2 2 2 2 2 2 3 2 3 2" xfId="5379" xr:uid="{36F6EF29-1182-470A-AAD9-5D71B62D4CE2}"/>
    <cellStyle name="Normal 3 2 2 2 2 2 2 2 2 3 2 3 2 2" xfId="9947" xr:uid="{7F3FF065-9E74-43CF-8F62-569CB481C9F6}"/>
    <cellStyle name="Normal 3 2 2 2 2 2 2 2 2 3 2 3 3" xfId="7655" xr:uid="{BF2AA3B5-8D97-45A0-A373-FB1085ABB758}"/>
    <cellStyle name="Normal 3 2 2 2 2 2 2 2 2 3 2 4" xfId="4370" xr:uid="{F1DF089E-8DFE-475D-995F-52CF2E9C5243}"/>
    <cellStyle name="Normal 3 2 2 2 2 2 2 2 2 3 2 4 2" xfId="8938" xr:uid="{F7B2D8B3-9B8E-412A-A4E0-BD7C863B9913}"/>
    <cellStyle name="Normal 3 2 2 2 2 2 2 2 2 3 2 5" xfId="6646" xr:uid="{F7BED26D-3D2C-4E00-90EE-FE831C9EB2BF}"/>
    <cellStyle name="Normal 3 2 2 2 2 2 2 2 2 3 3" xfId="2183" xr:uid="{0CFDD546-72F4-45DB-A999-E0604400CCAB}"/>
    <cellStyle name="Normal 3 2 2 2 2 2 2 2 2 3 3 2" xfId="3196" xr:uid="{8C984E87-29F3-454A-9FA2-AABA62340B7B}"/>
    <cellStyle name="Normal 3 2 2 2 2 2 2 2 2 3 3 2 2" xfId="5620" xr:uid="{2AA42B22-12C1-4C48-BEC1-9D01FA878245}"/>
    <cellStyle name="Normal 3 2 2 2 2 2 2 2 2 3 3 2 2 2" xfId="10188" xr:uid="{F257DCF5-DC12-4653-84F2-7E90B702190C}"/>
    <cellStyle name="Normal 3 2 2 2 2 2 2 2 2 3 3 2 3" xfId="7896" xr:uid="{D7BA6CCD-64DF-4025-A49F-458DDC08869B}"/>
    <cellStyle name="Normal 3 2 2 2 2 2 2 2 2 3 3 3" xfId="4611" xr:uid="{F5EB3E92-DD9F-4CBF-A6E1-A90E54C02655}"/>
    <cellStyle name="Normal 3 2 2 2 2 2 2 2 2 3 3 3 2" xfId="9179" xr:uid="{A6A6267A-596C-4691-A0F6-590D6AD6945E}"/>
    <cellStyle name="Normal 3 2 2 2 2 2 2 2 2 3 3 4" xfId="6887" xr:uid="{E0EE9156-8A76-474A-B475-216080CDC3A4}"/>
    <cellStyle name="Normal 3 2 2 2 2 2 2 2 2 3 4" xfId="2765" xr:uid="{A6C52F8B-28EC-4F47-9128-A21B5E54AF98}"/>
    <cellStyle name="Normal 3 2 2 2 2 2 2 2 2 3 4 2" xfId="5190" xr:uid="{E5D6E71B-058B-40E5-85DE-8300AD6C1F8A}"/>
    <cellStyle name="Normal 3 2 2 2 2 2 2 2 2 3 4 2 2" xfId="9758" xr:uid="{7C76D0C8-6759-44E4-9CA0-BA889BA05C2E}"/>
    <cellStyle name="Normal 3 2 2 2 2 2 2 2 2 3 4 3" xfId="7466" xr:uid="{0648547A-E80C-4A09-AA4E-281DCBF1E007}"/>
    <cellStyle name="Normal 3 2 2 2 2 2 2 2 2 3 5" xfId="4180" xr:uid="{B6EA1CFF-BEE9-474E-833A-3C0329D23CF6}"/>
    <cellStyle name="Normal 3 2 2 2 2 2 2 2 2 3 5 2" xfId="8749" xr:uid="{BE1200F8-C2AF-4E0E-BA1C-BAA26F4A774E}"/>
    <cellStyle name="Normal 3 2 2 2 2 2 2 2 2 3 6" xfId="6458" xr:uid="{5EC420EF-CB79-419E-BE99-78A129248D6A}"/>
    <cellStyle name="Normal 3 2 2 2 2 2 2 2 2 3 7" xfId="1538" xr:uid="{590CEFAA-7E16-4E09-8CBC-055C1A2EE8BB}"/>
    <cellStyle name="Normal 3 2 2 2 2 2 2 2 2 4" xfId="1812" xr:uid="{78CC697A-2D06-4B8B-92A1-CBB62ADEA9B9}"/>
    <cellStyle name="Normal 3 2 2 2 2 2 2 2 2 4 2" xfId="2359" xr:uid="{72279C84-CE05-4B13-9DD2-080D301EBA9C}"/>
    <cellStyle name="Normal 3 2 2 2 2 2 2 2 2 4 2 2" xfId="3370" xr:uid="{164860B5-3686-4DB6-A032-6221371DCE96}"/>
    <cellStyle name="Normal 3 2 2 2 2 2 2 2 2 4 2 2 2" xfId="5794" xr:uid="{DF7A3695-8B83-4B72-B2B0-450BA9C2B428}"/>
    <cellStyle name="Normal 3 2 2 2 2 2 2 2 2 4 2 2 2 2" xfId="10362" xr:uid="{9C80452F-A038-4C13-8C9B-9CF20A935DCA}"/>
    <cellStyle name="Normal 3 2 2 2 2 2 2 2 2 4 2 2 3" xfId="8070" xr:uid="{2E7424AD-4C72-4508-9958-0DF53740E40F}"/>
    <cellStyle name="Normal 3 2 2 2 2 2 2 2 2 4 2 3" xfId="4785" xr:uid="{B224D258-3069-4510-9ED0-B0E7A0EED74B}"/>
    <cellStyle name="Normal 3 2 2 2 2 2 2 2 2 4 2 3 2" xfId="9353" xr:uid="{68D4181D-3A5D-4A48-A685-67B2C7FB6D5F}"/>
    <cellStyle name="Normal 3 2 2 2 2 2 2 2 2 4 2 4" xfId="7061" xr:uid="{980A9B52-F7FF-4806-8623-FDC95D80455C}"/>
    <cellStyle name="Normal 3 2 2 2 2 2 2 2 2 4 3" xfId="2942" xr:uid="{A4699257-5D7C-43B3-9DD4-729231AB96E4}"/>
    <cellStyle name="Normal 3 2 2 2 2 2 2 2 2 4 3 2" xfId="5366" xr:uid="{B303E5C2-A728-4719-AAFA-1A7807FA0F84}"/>
    <cellStyle name="Normal 3 2 2 2 2 2 2 2 2 4 3 2 2" xfId="9934" xr:uid="{457395B1-E55C-4555-BEC3-E30575C27E36}"/>
    <cellStyle name="Normal 3 2 2 2 2 2 2 2 2 4 3 3" xfId="7642" xr:uid="{659B4EBE-E4DE-43D8-9D0D-8CE31C413609}"/>
    <cellStyle name="Normal 3 2 2 2 2 2 2 2 2 4 4" xfId="4357" xr:uid="{772E54C4-28E0-4D56-8730-B5848A256FF6}"/>
    <cellStyle name="Normal 3 2 2 2 2 2 2 2 2 4 4 2" xfId="8925" xr:uid="{08441A51-8D10-445F-B715-6D1E65085D41}"/>
    <cellStyle name="Normal 3 2 2 2 2 2 2 2 2 4 5" xfId="6633" xr:uid="{D0F44FD4-E6DF-47A4-A8A8-A9E5BAC2B96B}"/>
    <cellStyle name="Normal 3 2 2 2 2 2 2 2 2 5" xfId="2170" xr:uid="{0DDF116B-5F04-4D6C-8CC7-7C8FA5658F91}"/>
    <cellStyle name="Normal 3 2 2 2 2 2 2 2 2 5 2" xfId="3183" xr:uid="{C36E4131-62F3-4220-A3DF-9892EE93D4FB}"/>
    <cellStyle name="Normal 3 2 2 2 2 2 2 2 2 5 2 2" xfId="5607" xr:uid="{80EFA5BB-A7A0-43BD-9F86-0E5919B82A93}"/>
    <cellStyle name="Normal 3 2 2 2 2 2 2 2 2 5 2 2 2" xfId="10175" xr:uid="{708677D1-68F1-4401-88B3-4877E5374F98}"/>
    <cellStyle name="Normal 3 2 2 2 2 2 2 2 2 5 2 3" xfId="7883" xr:uid="{EBAB7174-8B50-468B-8ED2-6FE95BE8BB46}"/>
    <cellStyle name="Normal 3 2 2 2 2 2 2 2 2 5 3" xfId="4598" xr:uid="{D15271F7-12C2-4674-A8F6-CF1E3B8215F2}"/>
    <cellStyle name="Normal 3 2 2 2 2 2 2 2 2 5 3 2" xfId="9166" xr:uid="{8EE43748-D960-4E27-A237-A52E67FCC297}"/>
    <cellStyle name="Normal 3 2 2 2 2 2 2 2 2 5 4" xfId="6874" xr:uid="{F6D4583E-7EFC-4648-AC87-797D7A34D2E1}"/>
    <cellStyle name="Normal 3 2 2 2 2 2 2 2 2 6" xfId="2752" xr:uid="{569B83BE-59F0-42D1-A836-8DBF778D8431}"/>
    <cellStyle name="Normal 3 2 2 2 2 2 2 2 2 6 2" xfId="5177" xr:uid="{51B2041C-984B-4973-B973-D687F5D2D386}"/>
    <cellStyle name="Normal 3 2 2 2 2 2 2 2 2 6 2 2" xfId="9745" xr:uid="{8E4789C9-2975-4D2A-8881-E1E6B0066A46}"/>
    <cellStyle name="Normal 3 2 2 2 2 2 2 2 2 6 3" xfId="7453" xr:uid="{78591057-636D-40A4-B80E-6419AF7BFDEB}"/>
    <cellStyle name="Normal 3 2 2 2 2 2 2 2 2 7" xfId="4167" xr:uid="{6ACD02E0-E9ED-478A-B720-4A248FDD085A}"/>
    <cellStyle name="Normal 3 2 2 2 2 2 2 2 2 7 2" xfId="8736" xr:uid="{8381AA04-84DD-4398-9CB5-F2ED38F01929}"/>
    <cellStyle name="Normal 3 2 2 2 2 2 2 2 2 8" xfId="6445" xr:uid="{C56A3F83-85C8-44DB-B9EB-7BD9820A71F8}"/>
    <cellStyle name="Normal 3 2 2 2 2 2 2 2 2 9" xfId="1525" xr:uid="{CBD3AD95-824B-492F-8C51-61E6948E2921}"/>
    <cellStyle name="Normal 3 2 2 2 2 2 2 2 3" xfId="629" xr:uid="{00000000-0005-0000-0000-000093030000}"/>
    <cellStyle name="Normal 3 2 2 2 2 2 2 2 3 2" xfId="630" xr:uid="{00000000-0005-0000-0000-000094030000}"/>
    <cellStyle name="Normal 3 2 2 2 2 2 2 2 3 2 2" xfId="1827" xr:uid="{FC5A9CC1-8FB5-4F49-AFA5-061AC00532FC}"/>
    <cellStyle name="Normal 3 2 2 2 2 2 2 2 3 2 2 2" xfId="2374" xr:uid="{36C93144-F8B1-4D3F-9565-A0F576604E62}"/>
    <cellStyle name="Normal 3 2 2 2 2 2 2 2 3 2 2 2 2" xfId="3385" xr:uid="{221920D3-6614-43C9-A156-2C4FC4C74192}"/>
    <cellStyle name="Normal 3 2 2 2 2 2 2 2 3 2 2 2 2 2" xfId="5809" xr:uid="{676E2977-A25C-4A39-99F7-403775B19274}"/>
    <cellStyle name="Normal 3 2 2 2 2 2 2 2 3 2 2 2 2 2 2" xfId="10377" xr:uid="{A4A34457-9063-4C1F-BA03-71446A8151F3}"/>
    <cellStyle name="Normal 3 2 2 2 2 2 2 2 3 2 2 2 2 3" xfId="8085" xr:uid="{D8A1DB83-C592-4A90-935A-87CCD2E38DE0}"/>
    <cellStyle name="Normal 3 2 2 2 2 2 2 2 3 2 2 2 3" xfId="4800" xr:uid="{1F9374CA-7284-4708-AB03-DE57940808AC}"/>
    <cellStyle name="Normal 3 2 2 2 2 2 2 2 3 2 2 2 3 2" xfId="9368" xr:uid="{8A4E353A-538D-4A0B-9DDE-A9B1F8347CA7}"/>
    <cellStyle name="Normal 3 2 2 2 2 2 2 2 3 2 2 2 4" xfId="7076" xr:uid="{AA0C88D4-0625-4A62-9024-A7D7D7D82C20}"/>
    <cellStyle name="Normal 3 2 2 2 2 2 2 2 3 2 2 3" xfId="2957" xr:uid="{DE8B2FF5-AD56-4A30-BCF4-4AA81269E75E}"/>
    <cellStyle name="Normal 3 2 2 2 2 2 2 2 3 2 2 3 2" xfId="5381" xr:uid="{06997022-33E8-4F9B-A9BE-15E6B65FCB71}"/>
    <cellStyle name="Normal 3 2 2 2 2 2 2 2 3 2 2 3 2 2" xfId="9949" xr:uid="{4BD4C670-0C59-4F62-9354-920AA16CFEC7}"/>
    <cellStyle name="Normal 3 2 2 2 2 2 2 2 3 2 2 3 3" xfId="7657" xr:uid="{F225BE7A-1CEA-4D07-8082-58C9BE58C76E}"/>
    <cellStyle name="Normal 3 2 2 2 2 2 2 2 3 2 2 4" xfId="4372" xr:uid="{821FD4B7-869A-42AE-8A87-6452A484CC29}"/>
    <cellStyle name="Normal 3 2 2 2 2 2 2 2 3 2 2 4 2" xfId="8940" xr:uid="{6C60DEA8-737D-4E4B-A830-2108F1061DEA}"/>
    <cellStyle name="Normal 3 2 2 2 2 2 2 2 3 2 2 5" xfId="6648" xr:uid="{B7E92A19-6553-4C7A-9475-D78CB5EE10B6}"/>
    <cellStyle name="Normal 3 2 2 2 2 2 2 2 3 2 3" xfId="2185" xr:uid="{CE7E0B39-71A3-4F03-A8BC-837B14704486}"/>
    <cellStyle name="Normal 3 2 2 2 2 2 2 2 3 2 3 2" xfId="3198" xr:uid="{577B88B7-9D36-4C0D-97A0-CAEC074900A2}"/>
    <cellStyle name="Normal 3 2 2 2 2 2 2 2 3 2 3 2 2" xfId="5622" xr:uid="{27F84401-FB13-4D82-B85A-56F58674A215}"/>
    <cellStyle name="Normal 3 2 2 2 2 2 2 2 3 2 3 2 2 2" xfId="10190" xr:uid="{688E5AF0-56CA-4EA0-AD47-0CC35096FEBA}"/>
    <cellStyle name="Normal 3 2 2 2 2 2 2 2 3 2 3 2 3" xfId="7898" xr:uid="{ADC22056-1499-431F-8297-C915D5CFEA7F}"/>
    <cellStyle name="Normal 3 2 2 2 2 2 2 2 3 2 3 3" xfId="4613" xr:uid="{9EA5A36C-61BC-4C05-96A3-DEC5E065E2F9}"/>
    <cellStyle name="Normal 3 2 2 2 2 2 2 2 3 2 3 3 2" xfId="9181" xr:uid="{D37D76C0-355D-483C-B9C5-333114FDF653}"/>
    <cellStyle name="Normal 3 2 2 2 2 2 2 2 3 2 3 4" xfId="6889" xr:uid="{E5B83630-97F5-4422-8605-AF573311DF1D}"/>
    <cellStyle name="Normal 3 2 2 2 2 2 2 2 3 2 4" xfId="2767" xr:uid="{17279F65-37DE-4F1C-A05F-4E159D35F585}"/>
    <cellStyle name="Normal 3 2 2 2 2 2 2 2 3 2 4 2" xfId="5192" xr:uid="{A9A23BAC-714E-42A1-920A-6D3D249172F8}"/>
    <cellStyle name="Normal 3 2 2 2 2 2 2 2 3 2 4 2 2" xfId="9760" xr:uid="{5B0343A8-E537-4501-809F-2536F94AFB43}"/>
    <cellStyle name="Normal 3 2 2 2 2 2 2 2 3 2 4 3" xfId="7468" xr:uid="{35C0B542-F5E2-4626-8DFF-53F3A0F3B604}"/>
    <cellStyle name="Normal 3 2 2 2 2 2 2 2 3 2 5" xfId="4182" xr:uid="{090BA905-994F-4C2F-B648-862336C9D232}"/>
    <cellStyle name="Normal 3 2 2 2 2 2 2 2 3 2 5 2" xfId="8751" xr:uid="{F678B2D3-1E5C-4035-87D3-BC272355BB11}"/>
    <cellStyle name="Normal 3 2 2 2 2 2 2 2 3 2 6" xfId="6460" xr:uid="{22AA872A-B4F3-4E11-84DA-E72B441E8F35}"/>
    <cellStyle name="Normal 3 2 2 2 2 2 2 2 3 2 7" xfId="1540" xr:uid="{40D3C1AD-3B77-4C0F-9A2B-5C7617E8D155}"/>
    <cellStyle name="Normal 3 2 2 2 2 2 2 2 3 3" xfId="1826" xr:uid="{78313561-F992-44B5-8790-545F9677E53C}"/>
    <cellStyle name="Normal 3 2 2 2 2 2 2 2 3 3 2" xfId="2373" xr:uid="{FEE127D8-F1FA-4A7D-A472-B189DABE5C8B}"/>
    <cellStyle name="Normal 3 2 2 2 2 2 2 2 3 3 2 2" xfId="3384" xr:uid="{D8517BDD-429B-46CD-857E-C3BE5602EFE5}"/>
    <cellStyle name="Normal 3 2 2 2 2 2 2 2 3 3 2 2 2" xfId="5808" xr:uid="{F698BD95-E950-4EF3-A374-E20440D7B3BF}"/>
    <cellStyle name="Normal 3 2 2 2 2 2 2 2 3 3 2 2 2 2" xfId="10376" xr:uid="{66401216-0600-4663-92BF-1FADE9C056FB}"/>
    <cellStyle name="Normal 3 2 2 2 2 2 2 2 3 3 2 2 3" xfId="8084" xr:uid="{A4A237F4-8334-44B2-B14B-7316787278C0}"/>
    <cellStyle name="Normal 3 2 2 2 2 2 2 2 3 3 2 3" xfId="4799" xr:uid="{B935E270-DB8F-402B-95D8-4BC82AD06D2C}"/>
    <cellStyle name="Normal 3 2 2 2 2 2 2 2 3 3 2 3 2" xfId="9367" xr:uid="{E99EDB68-BD16-4050-96DF-A32F375BE0B8}"/>
    <cellStyle name="Normal 3 2 2 2 2 2 2 2 3 3 2 4" xfId="7075" xr:uid="{F92BB59C-E317-4486-A5B8-20F47B9630B7}"/>
    <cellStyle name="Normal 3 2 2 2 2 2 2 2 3 3 3" xfId="2956" xr:uid="{A1C0B9F2-9D1B-4B0F-AF76-72057648F067}"/>
    <cellStyle name="Normal 3 2 2 2 2 2 2 2 3 3 3 2" xfId="5380" xr:uid="{6436C147-ADB9-4D54-B046-A0D51642E552}"/>
    <cellStyle name="Normal 3 2 2 2 2 2 2 2 3 3 3 2 2" xfId="9948" xr:uid="{22B88697-FA15-4C51-B4E3-1502ECDE093E}"/>
    <cellStyle name="Normal 3 2 2 2 2 2 2 2 3 3 3 3" xfId="7656" xr:uid="{76774E53-C18F-4874-ADB0-CD64D6CBB8CF}"/>
    <cellStyle name="Normal 3 2 2 2 2 2 2 2 3 3 4" xfId="4371" xr:uid="{01AA46F8-E395-4CED-8A9F-7BBA507291C0}"/>
    <cellStyle name="Normal 3 2 2 2 2 2 2 2 3 3 4 2" xfId="8939" xr:uid="{7735478A-AEC4-40AE-939F-4E6EC44CE273}"/>
    <cellStyle name="Normal 3 2 2 2 2 2 2 2 3 3 5" xfId="6647" xr:uid="{505A4363-ACDF-413B-92FB-9378719658A1}"/>
    <cellStyle name="Normal 3 2 2 2 2 2 2 2 3 4" xfId="2184" xr:uid="{2AB8647B-9346-484B-A63D-B3263C9ED6A7}"/>
    <cellStyle name="Normal 3 2 2 2 2 2 2 2 3 4 2" xfId="3197" xr:uid="{B2A31F4F-CC77-46B6-B46F-FE22D914F1D3}"/>
    <cellStyle name="Normal 3 2 2 2 2 2 2 2 3 4 2 2" xfId="5621" xr:uid="{7A490AB6-CB0B-4DF5-813D-D0649AD98311}"/>
    <cellStyle name="Normal 3 2 2 2 2 2 2 2 3 4 2 2 2" xfId="10189" xr:uid="{BF968DDD-9CB0-4493-B911-9A5B3B6F412F}"/>
    <cellStyle name="Normal 3 2 2 2 2 2 2 2 3 4 2 3" xfId="7897" xr:uid="{F9D3122D-BEFA-45F5-903F-7F6CCC4321E4}"/>
    <cellStyle name="Normal 3 2 2 2 2 2 2 2 3 4 3" xfId="4612" xr:uid="{7F38E219-18FD-47FC-8398-B2CD4CF03DD7}"/>
    <cellStyle name="Normal 3 2 2 2 2 2 2 2 3 4 3 2" xfId="9180" xr:uid="{D074A815-B429-41F4-832B-AEB0E2F6EC0A}"/>
    <cellStyle name="Normal 3 2 2 2 2 2 2 2 3 4 4" xfId="6888" xr:uid="{D0DA7C52-ACDF-4D85-90D6-67650914950E}"/>
    <cellStyle name="Normal 3 2 2 2 2 2 2 2 3 5" xfId="2766" xr:uid="{6FDDF53B-612C-4245-AF35-8BBCB4E8FC85}"/>
    <cellStyle name="Normal 3 2 2 2 2 2 2 2 3 5 2" xfId="5191" xr:uid="{0389A151-855F-4C43-A444-C912F307D087}"/>
    <cellStyle name="Normal 3 2 2 2 2 2 2 2 3 5 2 2" xfId="9759" xr:uid="{8B41D76B-055A-45A3-9A24-BA89139CD9D3}"/>
    <cellStyle name="Normal 3 2 2 2 2 2 2 2 3 5 3" xfId="7467" xr:uid="{09F69656-29F2-4397-BAF6-DB37F5E1769E}"/>
    <cellStyle name="Normal 3 2 2 2 2 2 2 2 3 6" xfId="4181" xr:uid="{DC4BDFD5-A080-4F93-90FD-F0C69E26F061}"/>
    <cellStyle name="Normal 3 2 2 2 2 2 2 2 3 6 2" xfId="8750" xr:uid="{A08F27BF-DB52-4C56-9FEA-BF800E24A2DA}"/>
    <cellStyle name="Normal 3 2 2 2 2 2 2 2 3 7" xfId="6459" xr:uid="{33CECFA7-A73B-4535-90A2-88B257772990}"/>
    <cellStyle name="Normal 3 2 2 2 2 2 2 2 3 8" xfId="1539" xr:uid="{64D59A4C-4154-40EA-91E6-75452AB7F5C7}"/>
    <cellStyle name="Normal 3 2 2 2 2 2 2 2 4" xfId="631" xr:uid="{00000000-0005-0000-0000-000095030000}"/>
    <cellStyle name="Normal 3 2 2 2 2 2 2 2 4 2" xfId="1828" xr:uid="{BF3CD432-2247-4781-A184-EC218B814C81}"/>
    <cellStyle name="Normal 3 2 2 2 2 2 2 2 4 2 2" xfId="2375" xr:uid="{3E730EAD-4C59-4F83-8B80-E6B334220AD1}"/>
    <cellStyle name="Normal 3 2 2 2 2 2 2 2 4 2 2 2" xfId="3386" xr:uid="{FE986F5E-2E36-441B-B66C-002B0980C66D}"/>
    <cellStyle name="Normal 3 2 2 2 2 2 2 2 4 2 2 2 2" xfId="5810" xr:uid="{B7A7B668-3E07-403C-8CD7-194D8B0625A4}"/>
    <cellStyle name="Normal 3 2 2 2 2 2 2 2 4 2 2 2 2 2" xfId="10378" xr:uid="{481992F2-1690-48D0-B609-ED431CBF3525}"/>
    <cellStyle name="Normal 3 2 2 2 2 2 2 2 4 2 2 2 3" xfId="8086" xr:uid="{7ACEAF69-E458-492B-A7C0-7BE28B2D0419}"/>
    <cellStyle name="Normal 3 2 2 2 2 2 2 2 4 2 2 3" xfId="4801" xr:uid="{D40B83FE-D877-40A2-9B07-247790BC8AAE}"/>
    <cellStyle name="Normal 3 2 2 2 2 2 2 2 4 2 2 3 2" xfId="9369" xr:uid="{FF946D81-7B91-4D83-BA2A-3AAA0F866F11}"/>
    <cellStyle name="Normal 3 2 2 2 2 2 2 2 4 2 2 4" xfId="7077" xr:uid="{25B72C01-C584-418B-9B2D-06CFA1C12489}"/>
    <cellStyle name="Normal 3 2 2 2 2 2 2 2 4 2 3" xfId="2958" xr:uid="{06DB765B-D18B-4259-8B37-F2645D742773}"/>
    <cellStyle name="Normal 3 2 2 2 2 2 2 2 4 2 3 2" xfId="5382" xr:uid="{CEC56E55-03E7-48DF-988C-A805DE5887CE}"/>
    <cellStyle name="Normal 3 2 2 2 2 2 2 2 4 2 3 2 2" xfId="9950" xr:uid="{4B9A78BC-7FDB-47BF-A254-74FF9AA27482}"/>
    <cellStyle name="Normal 3 2 2 2 2 2 2 2 4 2 3 3" xfId="7658" xr:uid="{77729ABF-997C-47CD-A231-D534E6E9AABB}"/>
    <cellStyle name="Normal 3 2 2 2 2 2 2 2 4 2 4" xfId="4373" xr:uid="{82A18833-6695-4871-AC6E-B948EF46AFEB}"/>
    <cellStyle name="Normal 3 2 2 2 2 2 2 2 4 2 4 2" xfId="8941" xr:uid="{60C21827-0701-4638-93F9-FA1B7D1D4DCB}"/>
    <cellStyle name="Normal 3 2 2 2 2 2 2 2 4 2 5" xfId="6649" xr:uid="{D6C3361A-EA41-49B3-A01B-43B18591E1BA}"/>
    <cellStyle name="Normal 3 2 2 2 2 2 2 2 4 3" xfId="2186" xr:uid="{D929EF46-1D77-4DAE-8A19-1CFA7B5C167D}"/>
    <cellStyle name="Normal 3 2 2 2 2 2 2 2 4 3 2" xfId="3199" xr:uid="{BFBCA921-9E2D-4E15-8E3A-8CADF8FBC2AF}"/>
    <cellStyle name="Normal 3 2 2 2 2 2 2 2 4 3 2 2" xfId="5623" xr:uid="{9213AA21-EC9D-4F87-B921-976253176D7C}"/>
    <cellStyle name="Normal 3 2 2 2 2 2 2 2 4 3 2 2 2" xfId="10191" xr:uid="{2C9BAC79-496B-415F-99A3-9A768177D296}"/>
    <cellStyle name="Normal 3 2 2 2 2 2 2 2 4 3 2 3" xfId="7899" xr:uid="{10D58CDE-3BF6-4C36-861E-54B1BA20FB5D}"/>
    <cellStyle name="Normal 3 2 2 2 2 2 2 2 4 3 3" xfId="4614" xr:uid="{A40C4B01-0337-4841-A97E-462608445E58}"/>
    <cellStyle name="Normal 3 2 2 2 2 2 2 2 4 3 3 2" xfId="9182" xr:uid="{F15EF535-5779-4EB7-8D26-22536C06211C}"/>
    <cellStyle name="Normal 3 2 2 2 2 2 2 2 4 3 4" xfId="6890" xr:uid="{671136B1-61F0-4F9F-9CD9-F333C0DC719C}"/>
    <cellStyle name="Normal 3 2 2 2 2 2 2 2 4 4" xfId="2768" xr:uid="{40BA0F55-DF54-462F-9BE8-B41CF7993FCA}"/>
    <cellStyle name="Normal 3 2 2 2 2 2 2 2 4 4 2" xfId="5193" xr:uid="{FBDD20A8-0231-41DB-8E85-1C5AA1CA7E37}"/>
    <cellStyle name="Normal 3 2 2 2 2 2 2 2 4 4 2 2" xfId="9761" xr:uid="{31477287-6B52-4DA4-A01F-0DEB61EEB244}"/>
    <cellStyle name="Normal 3 2 2 2 2 2 2 2 4 4 3" xfId="7469" xr:uid="{B4320C0D-07CF-46A4-9872-2D5ACB28FFCA}"/>
    <cellStyle name="Normal 3 2 2 2 2 2 2 2 4 5" xfId="4183" xr:uid="{5E957EC3-90C8-42C3-B8E8-C424EF6E6CAE}"/>
    <cellStyle name="Normal 3 2 2 2 2 2 2 2 4 5 2" xfId="8752" xr:uid="{879C6764-6CD1-44FE-842E-2A3485CCC2E1}"/>
    <cellStyle name="Normal 3 2 2 2 2 2 2 2 4 6" xfId="6461" xr:uid="{AD3B2803-DABE-436C-B388-D0727F84540E}"/>
    <cellStyle name="Normal 3 2 2 2 2 2 2 2 4 7" xfId="1541" xr:uid="{D1D4DCFE-962C-48DA-A486-603C373AC0ED}"/>
    <cellStyle name="Normal 3 2 2 2 2 2 2 2 5" xfId="1811" xr:uid="{91FD18AA-AA91-4333-B05A-F4CACA62BE3E}"/>
    <cellStyle name="Normal 3 2 2 2 2 2 2 2 5 2" xfId="2358" xr:uid="{4F2A5B57-E422-4754-83ED-C5C013977F96}"/>
    <cellStyle name="Normal 3 2 2 2 2 2 2 2 5 2 2" xfId="3369" xr:uid="{DC34A2DF-CAA7-4B3E-89E6-11E6345B5FC8}"/>
    <cellStyle name="Normal 3 2 2 2 2 2 2 2 5 2 2 2" xfId="5793" xr:uid="{008729CF-CBC4-4D24-A896-2294A5E0380F}"/>
    <cellStyle name="Normal 3 2 2 2 2 2 2 2 5 2 2 2 2" xfId="10361" xr:uid="{215C3F9E-B66E-47F0-B551-C87105C0CCD7}"/>
    <cellStyle name="Normal 3 2 2 2 2 2 2 2 5 2 2 3" xfId="8069" xr:uid="{C5E111E0-5C7B-498B-AAE3-51480D33C31D}"/>
    <cellStyle name="Normal 3 2 2 2 2 2 2 2 5 2 3" xfId="4784" xr:uid="{1486599D-9BB8-4B61-8A2E-FDE5CE4DF2B1}"/>
    <cellStyle name="Normal 3 2 2 2 2 2 2 2 5 2 3 2" xfId="9352" xr:uid="{E915DE65-A853-4666-9D8C-B44B202A2FB3}"/>
    <cellStyle name="Normal 3 2 2 2 2 2 2 2 5 2 4" xfId="7060" xr:uid="{9C8BCFA2-09C2-4880-8207-5CC64E68132C}"/>
    <cellStyle name="Normal 3 2 2 2 2 2 2 2 5 3" xfId="2941" xr:uid="{33B3BFB7-D695-45CE-9EC4-821E6B68310A}"/>
    <cellStyle name="Normal 3 2 2 2 2 2 2 2 5 3 2" xfId="5365" xr:uid="{49C23741-7D36-407A-8C46-49A12AF4161E}"/>
    <cellStyle name="Normal 3 2 2 2 2 2 2 2 5 3 2 2" xfId="9933" xr:uid="{F871D4A9-2552-4E8B-B2D8-322F41E8FCEB}"/>
    <cellStyle name="Normal 3 2 2 2 2 2 2 2 5 3 3" xfId="7641" xr:uid="{568A470C-4B93-46D3-8ECC-898A38EC634D}"/>
    <cellStyle name="Normal 3 2 2 2 2 2 2 2 5 4" xfId="4356" xr:uid="{D217BF88-2386-4D4E-8823-CBCFC7DFFB73}"/>
    <cellStyle name="Normal 3 2 2 2 2 2 2 2 5 4 2" xfId="8924" xr:uid="{46169F13-2432-4891-9961-F4E11A137CAC}"/>
    <cellStyle name="Normal 3 2 2 2 2 2 2 2 5 5" xfId="6632" xr:uid="{9E22224F-AD47-4358-9B50-575219EE1500}"/>
    <cellStyle name="Normal 3 2 2 2 2 2 2 2 6" xfId="2169" xr:uid="{0680433C-7E0F-4811-BFE2-80A0F99D6F6B}"/>
    <cellStyle name="Normal 3 2 2 2 2 2 2 2 6 2" xfId="3182" xr:uid="{E20CB82F-3957-4C85-99EC-87A1EBFAEFAE}"/>
    <cellStyle name="Normal 3 2 2 2 2 2 2 2 6 2 2" xfId="5606" xr:uid="{5E4F6772-2D30-403B-A448-7E04E2D6F382}"/>
    <cellStyle name="Normal 3 2 2 2 2 2 2 2 6 2 2 2" xfId="10174" xr:uid="{DF5569EF-EA1C-4B11-979F-9735031A9ADE}"/>
    <cellStyle name="Normal 3 2 2 2 2 2 2 2 6 2 3" xfId="7882" xr:uid="{4E548D24-6F59-4F1E-85D7-4FF11D01E313}"/>
    <cellStyle name="Normal 3 2 2 2 2 2 2 2 6 3" xfId="4597" xr:uid="{271BAB25-B199-41C6-B958-C0B2479F5C9D}"/>
    <cellStyle name="Normal 3 2 2 2 2 2 2 2 6 3 2" xfId="9165" xr:uid="{EBACAF70-DD76-420E-A0B3-F15826813B41}"/>
    <cellStyle name="Normal 3 2 2 2 2 2 2 2 6 4" xfId="6873" xr:uid="{4B66E483-25FE-4DD9-B2C7-85A5BC37D848}"/>
    <cellStyle name="Normal 3 2 2 2 2 2 2 2 7" xfId="2751" xr:uid="{5EA20FCB-269A-4203-A333-751E50907775}"/>
    <cellStyle name="Normal 3 2 2 2 2 2 2 2 7 2" xfId="5176" xr:uid="{56C8ED60-8E89-43DC-BDD9-29B1F369DFBC}"/>
    <cellStyle name="Normal 3 2 2 2 2 2 2 2 7 2 2" xfId="9744" xr:uid="{080B1851-7B93-46C3-8B89-38834792EED5}"/>
    <cellStyle name="Normal 3 2 2 2 2 2 2 2 7 3" xfId="7452" xr:uid="{87BD3929-B826-4E90-B660-F5EED3F7F4B4}"/>
    <cellStyle name="Normal 3 2 2 2 2 2 2 2 8" xfId="4166" xr:uid="{4FCC5CFA-F8B9-4409-B842-9100F81FBD25}"/>
    <cellStyle name="Normal 3 2 2 2 2 2 2 2 8 2" xfId="8735" xr:uid="{8A496DB3-4EFA-4B69-B4E4-9B6580C5B36B}"/>
    <cellStyle name="Normal 3 2 2 2 2 2 2 2 9" xfId="6444" xr:uid="{3DCC8725-E940-4093-99A7-B8F9918D9FD1}"/>
    <cellStyle name="Normal 3 2 2 2 2 2 2 3" xfId="632" xr:uid="{00000000-0005-0000-0000-000096030000}"/>
    <cellStyle name="Normal 3 2 2 2 2 2 2 3 2" xfId="633" xr:uid="{00000000-0005-0000-0000-000097030000}"/>
    <cellStyle name="Normal 3 2 2 2 2 2 2 3 2 2" xfId="1830" xr:uid="{7D895465-A19B-43BF-A90E-D22CF0397122}"/>
    <cellStyle name="Normal 3 2 2 2 2 2 2 3 2 2 2" xfId="2377" xr:uid="{31D81B45-0FEE-4E15-8CE6-E851C1630350}"/>
    <cellStyle name="Normal 3 2 2 2 2 2 2 3 2 2 2 2" xfId="3388" xr:uid="{E7961018-F979-4B97-97C3-CC04B71661E9}"/>
    <cellStyle name="Normal 3 2 2 2 2 2 2 3 2 2 2 2 2" xfId="5812" xr:uid="{6F2A3D59-0428-4189-8C26-A5FF9079AA65}"/>
    <cellStyle name="Normal 3 2 2 2 2 2 2 3 2 2 2 2 2 2" xfId="10380" xr:uid="{793D44C7-8135-4732-93E0-B395A6AFB3BE}"/>
    <cellStyle name="Normal 3 2 2 2 2 2 2 3 2 2 2 2 3" xfId="8088" xr:uid="{3274024E-B82E-4DFD-8964-1E659C148346}"/>
    <cellStyle name="Normal 3 2 2 2 2 2 2 3 2 2 2 3" xfId="4803" xr:uid="{11630D28-3664-458C-A346-2ED767640EE0}"/>
    <cellStyle name="Normal 3 2 2 2 2 2 2 3 2 2 2 3 2" xfId="9371" xr:uid="{09C0BF2C-2057-4973-9779-4DC2A92405A7}"/>
    <cellStyle name="Normal 3 2 2 2 2 2 2 3 2 2 2 4" xfId="7079" xr:uid="{F7BB710C-7B24-4114-8115-EF8358519EBE}"/>
    <cellStyle name="Normal 3 2 2 2 2 2 2 3 2 2 3" xfId="2960" xr:uid="{08F1CD02-0F21-4448-A80D-5160E360868F}"/>
    <cellStyle name="Normal 3 2 2 2 2 2 2 3 2 2 3 2" xfId="5384" xr:uid="{A69D6674-2426-4261-A525-1E241ED5D6E6}"/>
    <cellStyle name="Normal 3 2 2 2 2 2 2 3 2 2 3 2 2" xfId="9952" xr:uid="{14BFBF85-00E2-4252-B60A-AE503C4D64C0}"/>
    <cellStyle name="Normal 3 2 2 2 2 2 2 3 2 2 3 3" xfId="7660" xr:uid="{5CF04912-A625-46AB-A299-858573AAF564}"/>
    <cellStyle name="Normal 3 2 2 2 2 2 2 3 2 2 4" xfId="4375" xr:uid="{BCAEB2F4-4514-4B9D-A06F-1C9B7B77ECE8}"/>
    <cellStyle name="Normal 3 2 2 2 2 2 2 3 2 2 4 2" xfId="8943" xr:uid="{3E9FE3CC-19FA-4367-A382-CE309E4EAE3B}"/>
    <cellStyle name="Normal 3 2 2 2 2 2 2 3 2 2 5" xfId="6651" xr:uid="{0126528B-B968-40D5-AD2F-E887D67CE4C5}"/>
    <cellStyle name="Normal 3 2 2 2 2 2 2 3 2 3" xfId="2188" xr:uid="{4AC986FE-55A4-4085-A966-E17AF9C7B0F1}"/>
    <cellStyle name="Normal 3 2 2 2 2 2 2 3 2 3 2" xfId="3201" xr:uid="{AFAF2882-C057-4251-96BD-143A4F026B1E}"/>
    <cellStyle name="Normal 3 2 2 2 2 2 2 3 2 3 2 2" xfId="5625" xr:uid="{6014FB79-DCFB-40C3-B624-BE627DA097A0}"/>
    <cellStyle name="Normal 3 2 2 2 2 2 2 3 2 3 2 2 2" xfId="10193" xr:uid="{489F9114-CA9D-4852-B422-29D3AB809F24}"/>
    <cellStyle name="Normal 3 2 2 2 2 2 2 3 2 3 2 3" xfId="7901" xr:uid="{0C12B570-3BA8-478E-9B6E-85AA775B0439}"/>
    <cellStyle name="Normal 3 2 2 2 2 2 2 3 2 3 3" xfId="4616" xr:uid="{FF15E893-4F60-41C5-8845-E2E6EE9A68C8}"/>
    <cellStyle name="Normal 3 2 2 2 2 2 2 3 2 3 3 2" xfId="9184" xr:uid="{14568C4A-3363-41A6-AA63-BC70E0585BEF}"/>
    <cellStyle name="Normal 3 2 2 2 2 2 2 3 2 3 4" xfId="6892" xr:uid="{92C2EFB6-6EC1-45B3-87EC-81C74818448A}"/>
    <cellStyle name="Normal 3 2 2 2 2 2 2 3 2 4" xfId="2770" xr:uid="{1676FF6A-17D2-4D6D-A38D-409EEEE32D66}"/>
    <cellStyle name="Normal 3 2 2 2 2 2 2 3 2 4 2" xfId="5195" xr:uid="{18B32E0B-CDEE-4C71-AB2D-91C5837EA099}"/>
    <cellStyle name="Normal 3 2 2 2 2 2 2 3 2 4 2 2" xfId="9763" xr:uid="{6D7354C7-9828-41DD-82F5-A7496AF1B487}"/>
    <cellStyle name="Normal 3 2 2 2 2 2 2 3 2 4 3" xfId="7471" xr:uid="{58555CEF-F746-4590-A0CF-F8C23258C418}"/>
    <cellStyle name="Normal 3 2 2 2 2 2 2 3 2 5" xfId="4185" xr:uid="{63540283-EBF1-470E-B706-BCFF6D7B05E3}"/>
    <cellStyle name="Normal 3 2 2 2 2 2 2 3 2 5 2" xfId="8754" xr:uid="{4DFC2012-573D-4D19-939A-3B4E34D72826}"/>
    <cellStyle name="Normal 3 2 2 2 2 2 2 3 2 6" xfId="6463" xr:uid="{F1A61333-67F1-4C42-8542-C48AA6495C5A}"/>
    <cellStyle name="Normal 3 2 2 2 2 2 2 3 2 7" xfId="1543" xr:uid="{46579E50-2866-4E27-BFD4-F19E327C4698}"/>
    <cellStyle name="Normal 3 2 2 2 2 2 2 3 3" xfId="1829" xr:uid="{26D1335F-6B6B-4DBD-B923-3DEA9C5B19EF}"/>
    <cellStyle name="Normal 3 2 2 2 2 2 2 3 3 2" xfId="2376" xr:uid="{3FBEACC7-302B-416B-AAB5-1C7E7D318643}"/>
    <cellStyle name="Normal 3 2 2 2 2 2 2 3 3 2 2" xfId="3387" xr:uid="{E699BAD2-A4D5-44C4-BF5E-BDB2B5F264B1}"/>
    <cellStyle name="Normal 3 2 2 2 2 2 2 3 3 2 2 2" xfId="5811" xr:uid="{531D4B52-5A22-4370-9CB8-5827D519CD83}"/>
    <cellStyle name="Normal 3 2 2 2 2 2 2 3 3 2 2 2 2" xfId="10379" xr:uid="{EFCC2C31-AB25-40B6-AF87-F57A48A60579}"/>
    <cellStyle name="Normal 3 2 2 2 2 2 2 3 3 2 2 3" xfId="8087" xr:uid="{AE846BF5-9742-4B71-A14E-587AC3B9B556}"/>
    <cellStyle name="Normal 3 2 2 2 2 2 2 3 3 2 3" xfId="4802" xr:uid="{A4BF6FB5-3BDC-48F2-836C-8FCC3A5F1799}"/>
    <cellStyle name="Normal 3 2 2 2 2 2 2 3 3 2 3 2" xfId="9370" xr:uid="{B6B0F17A-5689-43EE-A73F-617C4A068D2E}"/>
    <cellStyle name="Normal 3 2 2 2 2 2 2 3 3 2 4" xfId="7078" xr:uid="{4BF5ED72-2ADC-4BA6-9B09-153DD386AD71}"/>
    <cellStyle name="Normal 3 2 2 2 2 2 2 3 3 3" xfId="2959" xr:uid="{C7473525-4FE5-4040-B934-CB2BAE352FF5}"/>
    <cellStyle name="Normal 3 2 2 2 2 2 2 3 3 3 2" xfId="5383" xr:uid="{B13E13D7-C942-40DE-9891-FD66592FD613}"/>
    <cellStyle name="Normal 3 2 2 2 2 2 2 3 3 3 2 2" xfId="9951" xr:uid="{02A9B11B-2581-46D9-89EF-13D50279D855}"/>
    <cellStyle name="Normal 3 2 2 2 2 2 2 3 3 3 3" xfId="7659" xr:uid="{DDEACF46-A997-4280-99C6-8D25FBFD6F7E}"/>
    <cellStyle name="Normal 3 2 2 2 2 2 2 3 3 4" xfId="4374" xr:uid="{3721CA4A-22AC-4877-977B-04E30A0F869D}"/>
    <cellStyle name="Normal 3 2 2 2 2 2 2 3 3 4 2" xfId="8942" xr:uid="{23710BAF-4930-4540-8ACC-BEE7E343AA2E}"/>
    <cellStyle name="Normal 3 2 2 2 2 2 2 3 3 5" xfId="6650" xr:uid="{09852C92-2FCA-47BE-86E4-43C9E58D7A55}"/>
    <cellStyle name="Normal 3 2 2 2 2 2 2 3 4" xfId="2187" xr:uid="{43D95BD5-8B14-436D-8214-54D11B08D247}"/>
    <cellStyle name="Normal 3 2 2 2 2 2 2 3 4 2" xfId="3200" xr:uid="{C02899F0-96AD-49FB-AD6A-8A8EE40F4C03}"/>
    <cellStyle name="Normal 3 2 2 2 2 2 2 3 4 2 2" xfId="5624" xr:uid="{078CC7CD-0383-46DB-965C-3AAE062F0AE9}"/>
    <cellStyle name="Normal 3 2 2 2 2 2 2 3 4 2 2 2" xfId="10192" xr:uid="{2F02172D-E44A-4F6A-83E3-083B5E26D21E}"/>
    <cellStyle name="Normal 3 2 2 2 2 2 2 3 4 2 3" xfId="7900" xr:uid="{F55FBB99-7E7D-4643-A285-E58F322E9634}"/>
    <cellStyle name="Normal 3 2 2 2 2 2 2 3 4 3" xfId="4615" xr:uid="{56FB7134-C969-4B2A-BF3E-07A7A69F2D8C}"/>
    <cellStyle name="Normal 3 2 2 2 2 2 2 3 4 3 2" xfId="9183" xr:uid="{D1BD134D-C9C9-4550-A91E-12BFC88C8C9E}"/>
    <cellStyle name="Normal 3 2 2 2 2 2 2 3 4 4" xfId="6891" xr:uid="{D3451490-7E6C-4E61-96A9-CADB2F733F52}"/>
    <cellStyle name="Normal 3 2 2 2 2 2 2 3 5" xfId="2769" xr:uid="{35B58DBD-F2A5-4930-BC38-CD308B106DB3}"/>
    <cellStyle name="Normal 3 2 2 2 2 2 2 3 5 2" xfId="5194" xr:uid="{CD68E9B4-765E-4461-AE56-48A8A20724E8}"/>
    <cellStyle name="Normal 3 2 2 2 2 2 2 3 5 2 2" xfId="9762" xr:uid="{717F8812-A315-47F1-A4EA-572EEF7588C7}"/>
    <cellStyle name="Normal 3 2 2 2 2 2 2 3 5 3" xfId="7470" xr:uid="{5022762D-32FE-4450-868E-8B9394948795}"/>
    <cellStyle name="Normal 3 2 2 2 2 2 2 3 6" xfId="4184" xr:uid="{89E590C9-7606-47D2-BAD8-A4BD5806FE55}"/>
    <cellStyle name="Normal 3 2 2 2 2 2 2 3 6 2" xfId="8753" xr:uid="{46148CD9-1FB0-43FA-9F0F-7FE7EDF4AD5B}"/>
    <cellStyle name="Normal 3 2 2 2 2 2 2 3 7" xfId="6462" xr:uid="{A4D04A38-53D5-4C0B-82AD-284C83A8B356}"/>
    <cellStyle name="Normal 3 2 2 2 2 2 2 3 8" xfId="1542" xr:uid="{E31B1886-8E7A-45B7-A009-FB12CC7A3DF2}"/>
    <cellStyle name="Normal 3 2 2 2 2 2 2 4" xfId="634" xr:uid="{00000000-0005-0000-0000-000098030000}"/>
    <cellStyle name="Normal 3 2 2 2 2 2 2 4 2" xfId="1831" xr:uid="{E07CD99B-3F92-4B38-BE01-F41BDEB04434}"/>
    <cellStyle name="Normal 3 2 2 2 2 2 2 4 2 2" xfId="2378" xr:uid="{7524D08A-589C-4030-882E-FF39E372474C}"/>
    <cellStyle name="Normal 3 2 2 2 2 2 2 4 2 2 2" xfId="3389" xr:uid="{D20C1410-E20D-4D36-B3B8-78FD02E3AFD5}"/>
    <cellStyle name="Normal 3 2 2 2 2 2 2 4 2 2 2 2" xfId="5813" xr:uid="{439AE41B-A078-4377-BCD4-EE3F589E6A81}"/>
    <cellStyle name="Normal 3 2 2 2 2 2 2 4 2 2 2 2 2" xfId="10381" xr:uid="{4ECF5F0F-055A-41FB-82A5-3015602DBE58}"/>
    <cellStyle name="Normal 3 2 2 2 2 2 2 4 2 2 2 3" xfId="8089" xr:uid="{4E4E581F-F133-44EF-A1A2-071B04F1E8D6}"/>
    <cellStyle name="Normal 3 2 2 2 2 2 2 4 2 2 3" xfId="4804" xr:uid="{FD4849C9-A213-4798-9E9A-8132A8B9389D}"/>
    <cellStyle name="Normal 3 2 2 2 2 2 2 4 2 2 3 2" xfId="9372" xr:uid="{4D045CF2-1FBF-4A9C-98B2-9AB323D7EDAB}"/>
    <cellStyle name="Normal 3 2 2 2 2 2 2 4 2 2 4" xfId="7080" xr:uid="{ED8B150B-A441-4728-9537-ADAC7C3E9E5B}"/>
    <cellStyle name="Normal 3 2 2 2 2 2 2 4 2 3" xfId="2961" xr:uid="{7D194DB1-6D34-46CB-8DFE-0B5120A244C7}"/>
    <cellStyle name="Normal 3 2 2 2 2 2 2 4 2 3 2" xfId="5385" xr:uid="{5D318AEE-FE54-45EF-B62C-4B55A4E204CE}"/>
    <cellStyle name="Normal 3 2 2 2 2 2 2 4 2 3 2 2" xfId="9953" xr:uid="{B3B54EAD-C808-411C-AA70-15399D2503DB}"/>
    <cellStyle name="Normal 3 2 2 2 2 2 2 4 2 3 3" xfId="7661" xr:uid="{2DF546D7-600A-4A78-B67C-B4F35613DEBB}"/>
    <cellStyle name="Normal 3 2 2 2 2 2 2 4 2 4" xfId="4376" xr:uid="{791C9B6A-41E8-449A-8D3B-5632630D1899}"/>
    <cellStyle name="Normal 3 2 2 2 2 2 2 4 2 4 2" xfId="8944" xr:uid="{DCB490B0-FFA7-4418-9514-3371E4AE653E}"/>
    <cellStyle name="Normal 3 2 2 2 2 2 2 4 2 5" xfId="6652" xr:uid="{1596C15B-0F49-451E-86F3-7D14918109B8}"/>
    <cellStyle name="Normal 3 2 2 2 2 2 2 4 3" xfId="2189" xr:uid="{9078293C-4321-41D1-A165-ADEDB8B7CF5D}"/>
    <cellStyle name="Normal 3 2 2 2 2 2 2 4 3 2" xfId="3202" xr:uid="{C76695BA-A4A1-401D-B6C5-D9C213E02628}"/>
    <cellStyle name="Normal 3 2 2 2 2 2 2 4 3 2 2" xfId="5626" xr:uid="{522A39DD-8C01-46AE-A81B-111A3FD3F3ED}"/>
    <cellStyle name="Normal 3 2 2 2 2 2 2 4 3 2 2 2" xfId="10194" xr:uid="{8E24410F-A397-44B1-8276-1ECF3166162E}"/>
    <cellStyle name="Normal 3 2 2 2 2 2 2 4 3 2 3" xfId="7902" xr:uid="{B3653A40-7A37-4210-BF11-E515A5FB1264}"/>
    <cellStyle name="Normal 3 2 2 2 2 2 2 4 3 3" xfId="4617" xr:uid="{92500421-1E7B-46E8-9984-5FDDECA51DDD}"/>
    <cellStyle name="Normal 3 2 2 2 2 2 2 4 3 3 2" xfId="9185" xr:uid="{3B9C65B1-945B-4F5B-B4E9-B4F81E2B9C10}"/>
    <cellStyle name="Normal 3 2 2 2 2 2 2 4 3 4" xfId="6893" xr:uid="{F4D2E99E-DCEC-4979-847B-8F4B01AE0A64}"/>
    <cellStyle name="Normal 3 2 2 2 2 2 2 4 4" xfId="2771" xr:uid="{C3556E16-C528-41C3-8465-BB030A4F5231}"/>
    <cellStyle name="Normal 3 2 2 2 2 2 2 4 4 2" xfId="5196" xr:uid="{41ABBED9-CE4A-4AB6-8D3A-A0524133F057}"/>
    <cellStyle name="Normal 3 2 2 2 2 2 2 4 4 2 2" xfId="9764" xr:uid="{4DC3866F-ECDE-4C24-A5FB-E1C833362FC5}"/>
    <cellStyle name="Normal 3 2 2 2 2 2 2 4 4 3" xfId="7472" xr:uid="{4DDB9886-4A50-4C00-95EB-11A610E609A4}"/>
    <cellStyle name="Normal 3 2 2 2 2 2 2 4 5" xfId="4186" xr:uid="{61CD94F6-3047-4BCF-87BF-DF8B6FD5CB6D}"/>
    <cellStyle name="Normal 3 2 2 2 2 2 2 4 5 2" xfId="8755" xr:uid="{17751FC3-540C-4C7C-B056-14284AFC47C8}"/>
    <cellStyle name="Normal 3 2 2 2 2 2 2 4 6" xfId="6464" xr:uid="{846122EE-7CD1-401D-A444-06D3B94407A4}"/>
    <cellStyle name="Normal 3 2 2 2 2 2 2 4 7" xfId="1544" xr:uid="{69E2EC52-79D0-4814-821D-967DFC50ED7A}"/>
    <cellStyle name="Normal 3 2 2 2 2 2 2 5" xfId="1810" xr:uid="{D558D347-316C-41D7-A699-C7528FF01657}"/>
    <cellStyle name="Normal 3 2 2 2 2 2 2 5 2" xfId="2357" xr:uid="{00E71C4E-2D41-4CEF-9833-D0995E324DCA}"/>
    <cellStyle name="Normal 3 2 2 2 2 2 2 5 2 2" xfId="3368" xr:uid="{3F57795C-060E-40CE-8D76-AFF813BAAC1F}"/>
    <cellStyle name="Normal 3 2 2 2 2 2 2 5 2 2 2" xfId="5792" xr:uid="{B51F41FD-EEAC-4454-949E-89BDBC3CBFDB}"/>
    <cellStyle name="Normal 3 2 2 2 2 2 2 5 2 2 2 2" xfId="10360" xr:uid="{2B5F6293-0DBB-4F2F-AAEF-79228F1142F0}"/>
    <cellStyle name="Normal 3 2 2 2 2 2 2 5 2 2 3" xfId="8068" xr:uid="{2997859F-CC97-435E-82F2-70937AB86104}"/>
    <cellStyle name="Normal 3 2 2 2 2 2 2 5 2 3" xfId="4783" xr:uid="{27973589-B142-488B-B5D0-2FA2BD6931C5}"/>
    <cellStyle name="Normal 3 2 2 2 2 2 2 5 2 3 2" xfId="9351" xr:uid="{95F90C2D-5FF3-4781-A80F-5133FF8CC2C4}"/>
    <cellStyle name="Normal 3 2 2 2 2 2 2 5 2 4" xfId="7059" xr:uid="{9048B01D-822B-403E-83BE-D4A40DCA57E5}"/>
    <cellStyle name="Normal 3 2 2 2 2 2 2 5 3" xfId="2940" xr:uid="{AF0A6E55-45C9-4B2D-B082-89F9CB53C20E}"/>
    <cellStyle name="Normal 3 2 2 2 2 2 2 5 3 2" xfId="5364" xr:uid="{8C386F25-65D5-429B-BADE-F9701147BB36}"/>
    <cellStyle name="Normal 3 2 2 2 2 2 2 5 3 2 2" xfId="9932" xr:uid="{DFF0BCAF-E8DD-4FBD-9507-636043D8E575}"/>
    <cellStyle name="Normal 3 2 2 2 2 2 2 5 3 3" xfId="7640" xr:uid="{421A7B93-2B6C-4B8B-810E-88B6D44F12FD}"/>
    <cellStyle name="Normal 3 2 2 2 2 2 2 5 4" xfId="4355" xr:uid="{FBFB46A4-2969-4876-9A7A-AC19A46BC7C0}"/>
    <cellStyle name="Normal 3 2 2 2 2 2 2 5 4 2" xfId="8923" xr:uid="{C925ADC6-A2B2-4F2E-8E49-697D730E3F78}"/>
    <cellStyle name="Normal 3 2 2 2 2 2 2 5 5" xfId="6631" xr:uid="{53C600C1-704A-47F5-AF9E-3BFED7406B74}"/>
    <cellStyle name="Normal 3 2 2 2 2 2 2 6" xfId="2168" xr:uid="{F9EB9D92-05B8-49C9-AE80-B762E32896D3}"/>
    <cellStyle name="Normal 3 2 2 2 2 2 2 6 2" xfId="3181" xr:uid="{00921AC4-5F0B-45B8-B3F1-E1E4E6DD5890}"/>
    <cellStyle name="Normal 3 2 2 2 2 2 2 6 2 2" xfId="5605" xr:uid="{06EAA74E-57AB-4043-A801-B38D1D3E5C2A}"/>
    <cellStyle name="Normal 3 2 2 2 2 2 2 6 2 2 2" xfId="10173" xr:uid="{F3936827-0E1C-47AA-987E-0A6BEF853FFE}"/>
    <cellStyle name="Normal 3 2 2 2 2 2 2 6 2 3" xfId="7881" xr:uid="{85598824-369A-4F8A-8E8E-FD8EC6148D4F}"/>
    <cellStyle name="Normal 3 2 2 2 2 2 2 6 3" xfId="4596" xr:uid="{C583AE99-F1D1-44C2-827B-A52FA3BEBB42}"/>
    <cellStyle name="Normal 3 2 2 2 2 2 2 6 3 2" xfId="9164" xr:uid="{24C7806C-D23E-4F8F-9FE7-C7EB54B62291}"/>
    <cellStyle name="Normal 3 2 2 2 2 2 2 6 4" xfId="6872" xr:uid="{0F941EAB-C8CD-40A8-A3F4-CD31EB2C9A30}"/>
    <cellStyle name="Normal 3 2 2 2 2 2 2 7" xfId="2750" xr:uid="{BE13A8A6-1555-444B-A234-5342A3B570A5}"/>
    <cellStyle name="Normal 3 2 2 2 2 2 2 7 2" xfId="5175" xr:uid="{527ED719-0272-4E19-B494-00D18B0789AD}"/>
    <cellStyle name="Normal 3 2 2 2 2 2 2 7 2 2" xfId="9743" xr:uid="{263831C1-021C-4E8E-AE7B-80742B795830}"/>
    <cellStyle name="Normal 3 2 2 2 2 2 2 7 3" xfId="7451" xr:uid="{C0260509-B598-4171-B739-FED25CF7A98A}"/>
    <cellStyle name="Normal 3 2 2 2 2 2 2 8" xfId="4165" xr:uid="{48BDF56F-99E4-49EB-8101-B2282C56BFDA}"/>
    <cellStyle name="Normal 3 2 2 2 2 2 2 8 2" xfId="8734" xr:uid="{94FE3FD9-23F6-4603-AE8B-F1CA16EEAC2E}"/>
    <cellStyle name="Normal 3 2 2 2 2 2 2 9" xfId="6443" xr:uid="{871C1246-F7C4-4D63-A519-B97BC5E2E9F5}"/>
    <cellStyle name="Normal 3 2 2 2 2 2 3" xfId="635" xr:uid="{00000000-0005-0000-0000-000099030000}"/>
    <cellStyle name="Normal 3 2 2 2 2 2 3 2" xfId="636" xr:uid="{00000000-0005-0000-0000-00009A030000}"/>
    <cellStyle name="Normal 3 2 2 2 2 2 3 2 2" xfId="1833" xr:uid="{BD6344B6-2BD8-4123-86EB-8B9352B3E511}"/>
    <cellStyle name="Normal 3 2 2 2 2 2 3 2 2 2" xfId="2380" xr:uid="{ABF24658-CBA1-4035-B6BB-83FB8649747E}"/>
    <cellStyle name="Normal 3 2 2 2 2 2 3 2 2 2 2" xfId="3391" xr:uid="{654233EE-3580-4CA0-9182-D92FC948F4E2}"/>
    <cellStyle name="Normal 3 2 2 2 2 2 3 2 2 2 2 2" xfId="5815" xr:uid="{CA55D2E9-30E7-4C81-B991-BF259FC44314}"/>
    <cellStyle name="Normal 3 2 2 2 2 2 3 2 2 2 2 2 2" xfId="10383" xr:uid="{E686AB44-E6D5-4323-AC1A-ADFC3BCD0683}"/>
    <cellStyle name="Normal 3 2 2 2 2 2 3 2 2 2 2 3" xfId="8091" xr:uid="{F58C59BD-A31A-4C6D-9ED4-B4D56532826C}"/>
    <cellStyle name="Normal 3 2 2 2 2 2 3 2 2 2 3" xfId="4806" xr:uid="{FE21892F-ED1A-4A4B-BFE5-CF5AF1FE012F}"/>
    <cellStyle name="Normal 3 2 2 2 2 2 3 2 2 2 3 2" xfId="9374" xr:uid="{20C357B4-F908-4F2F-A45A-B580E3362793}"/>
    <cellStyle name="Normal 3 2 2 2 2 2 3 2 2 2 4" xfId="7082" xr:uid="{C911A06F-100C-4B2D-A367-55DB3AA125D3}"/>
    <cellStyle name="Normal 3 2 2 2 2 2 3 2 2 3" xfId="2963" xr:uid="{29E88A8C-41FD-4A9E-9E03-A8E1AEAC9A05}"/>
    <cellStyle name="Normal 3 2 2 2 2 2 3 2 2 3 2" xfId="5387" xr:uid="{D4E419C4-1FD8-477C-8899-1CDDF04AE356}"/>
    <cellStyle name="Normal 3 2 2 2 2 2 3 2 2 3 2 2" xfId="9955" xr:uid="{6173C071-FE54-454B-9A7C-0E73FF18F1F2}"/>
    <cellStyle name="Normal 3 2 2 2 2 2 3 2 2 3 3" xfId="7663" xr:uid="{2BC7E94F-3F40-43B6-9405-A224F2CDB8E7}"/>
    <cellStyle name="Normal 3 2 2 2 2 2 3 2 2 4" xfId="4378" xr:uid="{3E103B36-E99B-4599-B392-346545030520}"/>
    <cellStyle name="Normal 3 2 2 2 2 2 3 2 2 4 2" xfId="8946" xr:uid="{BE11C7EF-F23A-4085-893D-4CCC7AB6FC66}"/>
    <cellStyle name="Normal 3 2 2 2 2 2 3 2 2 5" xfId="6654" xr:uid="{85E01047-84B7-4D7F-9DFA-DB7D9A4D7DDB}"/>
    <cellStyle name="Normal 3 2 2 2 2 2 3 2 3" xfId="2191" xr:uid="{02CEC9BC-69BA-4F7A-B0F4-5ECA306A304B}"/>
    <cellStyle name="Normal 3 2 2 2 2 2 3 2 3 2" xfId="3204" xr:uid="{268A136C-A312-4CCE-919E-A6A88E85DB7A}"/>
    <cellStyle name="Normal 3 2 2 2 2 2 3 2 3 2 2" xfId="5628" xr:uid="{85B17B85-90E7-45B2-8474-F5E1E667D823}"/>
    <cellStyle name="Normal 3 2 2 2 2 2 3 2 3 2 2 2" xfId="10196" xr:uid="{7C8D20F1-872E-4F63-ABFC-2FF9854AA46D}"/>
    <cellStyle name="Normal 3 2 2 2 2 2 3 2 3 2 3" xfId="7904" xr:uid="{5672E952-A05F-4DA8-A419-A83C8A5741AF}"/>
    <cellStyle name="Normal 3 2 2 2 2 2 3 2 3 3" xfId="4619" xr:uid="{B3D33566-0A08-4E2D-8831-2099B779F32C}"/>
    <cellStyle name="Normal 3 2 2 2 2 2 3 2 3 3 2" xfId="9187" xr:uid="{D04ABF38-F414-4D49-9A89-C39179700C8C}"/>
    <cellStyle name="Normal 3 2 2 2 2 2 3 2 3 4" xfId="6895" xr:uid="{31101C70-B122-4AB4-85A3-EFD68943A11D}"/>
    <cellStyle name="Normal 3 2 2 2 2 2 3 2 4" xfId="2773" xr:uid="{734A3795-AED5-48C2-B866-E8E092C2AC49}"/>
    <cellStyle name="Normal 3 2 2 2 2 2 3 2 4 2" xfId="5198" xr:uid="{5B7CFCA4-5327-4BDC-AED3-EFA1AE05FA41}"/>
    <cellStyle name="Normal 3 2 2 2 2 2 3 2 4 2 2" xfId="9766" xr:uid="{C41B172B-B198-47E8-998D-AD68E69A801B}"/>
    <cellStyle name="Normal 3 2 2 2 2 2 3 2 4 3" xfId="7474" xr:uid="{68096291-BA17-4B16-B4C3-032DDE5993B3}"/>
    <cellStyle name="Normal 3 2 2 2 2 2 3 2 5" xfId="4188" xr:uid="{1BC12BB7-2550-4AEF-8CF2-E6A38C771724}"/>
    <cellStyle name="Normal 3 2 2 2 2 2 3 2 5 2" xfId="8757" xr:uid="{1C88000F-8F00-4C46-B4D7-D444316DA160}"/>
    <cellStyle name="Normal 3 2 2 2 2 2 3 2 6" xfId="6466" xr:uid="{944A42A7-82F9-4B1F-8690-F798A9809E0D}"/>
    <cellStyle name="Normal 3 2 2 2 2 2 3 2 7" xfId="1546" xr:uid="{7427A48A-5893-4F3A-A739-CF2AC77F6EDE}"/>
    <cellStyle name="Normal 3 2 2 2 2 2 3 3" xfId="1832" xr:uid="{8300ADA4-529F-4C3D-AADB-61683B5A79D6}"/>
    <cellStyle name="Normal 3 2 2 2 2 2 3 3 2" xfId="2379" xr:uid="{7959E360-CECD-4172-BB8D-949FBFE8256E}"/>
    <cellStyle name="Normal 3 2 2 2 2 2 3 3 2 2" xfId="3390" xr:uid="{7464FA8C-05CC-4C64-8CDD-261BCEF6FEF6}"/>
    <cellStyle name="Normal 3 2 2 2 2 2 3 3 2 2 2" xfId="5814" xr:uid="{C5A33F33-8A27-417A-BBED-F9FD9FDA177D}"/>
    <cellStyle name="Normal 3 2 2 2 2 2 3 3 2 2 2 2" xfId="10382" xr:uid="{25E9AD3E-CF05-4BED-B6DF-12706FF751D0}"/>
    <cellStyle name="Normal 3 2 2 2 2 2 3 3 2 2 3" xfId="8090" xr:uid="{CFCDA3A0-E030-4DB1-AB09-9C83378C19CF}"/>
    <cellStyle name="Normal 3 2 2 2 2 2 3 3 2 3" xfId="4805" xr:uid="{A5BD2CD3-31E3-4383-B1D5-729BCBE2BE32}"/>
    <cellStyle name="Normal 3 2 2 2 2 2 3 3 2 3 2" xfId="9373" xr:uid="{61DC7FB1-4C5C-4D2C-B5CC-4F87947AE948}"/>
    <cellStyle name="Normal 3 2 2 2 2 2 3 3 2 4" xfId="7081" xr:uid="{9B82FD91-2690-46F6-9FB2-2E247A42BFFD}"/>
    <cellStyle name="Normal 3 2 2 2 2 2 3 3 3" xfId="2962" xr:uid="{A9B1BEF0-BFE5-4356-9C8E-D417A3A23E0E}"/>
    <cellStyle name="Normal 3 2 2 2 2 2 3 3 3 2" xfId="5386" xr:uid="{0A3FAE25-A4F7-498E-BCFF-8B2AC2E09497}"/>
    <cellStyle name="Normal 3 2 2 2 2 2 3 3 3 2 2" xfId="9954" xr:uid="{EB75EACC-C066-478B-9C23-707744B195FB}"/>
    <cellStyle name="Normal 3 2 2 2 2 2 3 3 3 3" xfId="7662" xr:uid="{BBF602AA-F962-42BA-9D7D-F1B86C9757F8}"/>
    <cellStyle name="Normal 3 2 2 2 2 2 3 3 4" xfId="4377" xr:uid="{F23C0C40-0367-49B9-AB5C-7F2F8133053E}"/>
    <cellStyle name="Normal 3 2 2 2 2 2 3 3 4 2" xfId="8945" xr:uid="{6B5AC6B4-2DED-4125-BC1F-9E8FD7CF5016}"/>
    <cellStyle name="Normal 3 2 2 2 2 2 3 3 5" xfId="6653" xr:uid="{99D5FC53-1350-4915-81CB-A0F27FE8C0E6}"/>
    <cellStyle name="Normal 3 2 2 2 2 2 3 4" xfId="2190" xr:uid="{FD5B67FD-EEF4-4588-85C4-95E2BAC54174}"/>
    <cellStyle name="Normal 3 2 2 2 2 2 3 4 2" xfId="3203" xr:uid="{650BDBD7-859D-4BAE-B4A5-32F157635EB3}"/>
    <cellStyle name="Normal 3 2 2 2 2 2 3 4 2 2" xfId="5627" xr:uid="{C9CF1FED-06EB-4263-A2A6-62FA445E8D93}"/>
    <cellStyle name="Normal 3 2 2 2 2 2 3 4 2 2 2" xfId="10195" xr:uid="{696EAE9E-4CBF-4295-967B-FB0211946954}"/>
    <cellStyle name="Normal 3 2 2 2 2 2 3 4 2 3" xfId="7903" xr:uid="{901D3F85-1396-4133-AFC8-5B528BC19095}"/>
    <cellStyle name="Normal 3 2 2 2 2 2 3 4 3" xfId="4618" xr:uid="{A786B558-67C9-48FD-B490-5BCC1B2E8F52}"/>
    <cellStyle name="Normal 3 2 2 2 2 2 3 4 3 2" xfId="9186" xr:uid="{8F40BB75-87D7-47F9-806D-040156612BC4}"/>
    <cellStyle name="Normal 3 2 2 2 2 2 3 4 4" xfId="6894" xr:uid="{DECE51FB-E483-4C52-9709-34CAC2967D4C}"/>
    <cellStyle name="Normal 3 2 2 2 2 2 3 5" xfId="2772" xr:uid="{AD40E634-679C-47FC-B765-484A8E5234DA}"/>
    <cellStyle name="Normal 3 2 2 2 2 2 3 5 2" xfId="5197" xr:uid="{3088D3F4-5F0B-4F97-9A1D-38C71DF4B64C}"/>
    <cellStyle name="Normal 3 2 2 2 2 2 3 5 2 2" xfId="9765" xr:uid="{2EB3796C-7812-4CDD-B957-000ECFC6A9A4}"/>
    <cellStyle name="Normal 3 2 2 2 2 2 3 5 3" xfId="7473" xr:uid="{1339CCC3-1A7A-45CF-81F5-EBF48E034756}"/>
    <cellStyle name="Normal 3 2 2 2 2 2 3 6" xfId="4187" xr:uid="{D8137FF4-A777-477A-AF8F-C658FD7DF9A1}"/>
    <cellStyle name="Normal 3 2 2 2 2 2 3 6 2" xfId="8756" xr:uid="{1881D706-2CF8-4633-9C26-5F02201CF8F8}"/>
    <cellStyle name="Normal 3 2 2 2 2 2 3 7" xfId="6465" xr:uid="{C41ADD16-57BE-4F6D-8A8B-EB3E86F8CFE1}"/>
    <cellStyle name="Normal 3 2 2 2 2 2 3 8" xfId="1545" xr:uid="{B8D07AE5-9B1A-48F0-959B-892EB2153755}"/>
    <cellStyle name="Normal 3 2 2 2 2 2 4" xfId="637" xr:uid="{00000000-0005-0000-0000-00009B030000}"/>
    <cellStyle name="Normal 3 2 2 2 2 2 4 2" xfId="1834" xr:uid="{B1A33035-1C81-48AF-8502-13BF44DCC4FF}"/>
    <cellStyle name="Normal 3 2 2 2 2 2 4 2 2" xfId="2381" xr:uid="{8438E4D1-584C-4F48-BF4A-4A76A04F7B49}"/>
    <cellStyle name="Normal 3 2 2 2 2 2 4 2 2 2" xfId="3392" xr:uid="{A83A8130-2212-4AF3-9EFA-32DC777CBCB5}"/>
    <cellStyle name="Normal 3 2 2 2 2 2 4 2 2 2 2" xfId="5816" xr:uid="{3A754312-E8A5-4A34-A397-98CC1843B59F}"/>
    <cellStyle name="Normal 3 2 2 2 2 2 4 2 2 2 2 2" xfId="10384" xr:uid="{9D7354BA-B62E-4D5F-8BB1-F3E1C5D1E6C2}"/>
    <cellStyle name="Normal 3 2 2 2 2 2 4 2 2 2 3" xfId="8092" xr:uid="{9C538BA3-0919-4AAF-80AC-4709B2189F28}"/>
    <cellStyle name="Normal 3 2 2 2 2 2 4 2 2 3" xfId="4807" xr:uid="{F2D140FE-6A7D-49C5-883F-E1EA50A99029}"/>
    <cellStyle name="Normal 3 2 2 2 2 2 4 2 2 3 2" xfId="9375" xr:uid="{2E49837F-3D2C-4F6A-B72C-864C36C97AEB}"/>
    <cellStyle name="Normal 3 2 2 2 2 2 4 2 2 4" xfId="7083" xr:uid="{C7DB2AA5-78BE-4B42-8BEB-5403504FF697}"/>
    <cellStyle name="Normal 3 2 2 2 2 2 4 2 3" xfId="2964" xr:uid="{6CBD3C42-CF07-4D0E-9DA4-42EC203C10BD}"/>
    <cellStyle name="Normal 3 2 2 2 2 2 4 2 3 2" xfId="5388" xr:uid="{1BF5FD1D-BAAC-4E38-B78D-A7EF78F8E905}"/>
    <cellStyle name="Normal 3 2 2 2 2 2 4 2 3 2 2" xfId="9956" xr:uid="{AF422E9C-08BA-4BD0-B56A-DDBF9F3CA096}"/>
    <cellStyle name="Normal 3 2 2 2 2 2 4 2 3 3" xfId="7664" xr:uid="{84494D4B-4B89-4417-A1E2-D1D715D9D596}"/>
    <cellStyle name="Normal 3 2 2 2 2 2 4 2 4" xfId="4379" xr:uid="{E8960DCD-54FE-49DF-9969-E47CA3DCFA82}"/>
    <cellStyle name="Normal 3 2 2 2 2 2 4 2 4 2" xfId="8947" xr:uid="{DEB2D8A5-9FAD-42AC-B82A-F21C7BF135F6}"/>
    <cellStyle name="Normal 3 2 2 2 2 2 4 2 5" xfId="6655" xr:uid="{698FF549-611B-430E-AB20-33C8D4F70E60}"/>
    <cellStyle name="Normal 3 2 2 2 2 2 4 3" xfId="2192" xr:uid="{333EAE26-6898-4512-A162-81A3896A4120}"/>
    <cellStyle name="Normal 3 2 2 2 2 2 4 3 2" xfId="3205" xr:uid="{B75A5B7D-CAEA-4617-9545-FAC1C0DA38EC}"/>
    <cellStyle name="Normal 3 2 2 2 2 2 4 3 2 2" xfId="5629" xr:uid="{C6BBA43C-49E1-4867-B3B8-39CBFB7DEAFB}"/>
    <cellStyle name="Normal 3 2 2 2 2 2 4 3 2 2 2" xfId="10197" xr:uid="{57C971BA-AD18-445F-9598-4C7E3A321845}"/>
    <cellStyle name="Normal 3 2 2 2 2 2 4 3 2 3" xfId="7905" xr:uid="{766255AA-B71E-4C42-9C27-9A13E5AAEE9E}"/>
    <cellStyle name="Normal 3 2 2 2 2 2 4 3 3" xfId="4620" xr:uid="{D9603B8A-7DDA-4A1E-9BA8-E26BB202E4C4}"/>
    <cellStyle name="Normal 3 2 2 2 2 2 4 3 3 2" xfId="9188" xr:uid="{5C5BE6AA-AD68-44F5-8C2E-A258CE5DFDD2}"/>
    <cellStyle name="Normal 3 2 2 2 2 2 4 3 4" xfId="6896" xr:uid="{71CC28FF-9C8B-4D52-BFEE-0F42067612F1}"/>
    <cellStyle name="Normal 3 2 2 2 2 2 4 4" xfId="2774" xr:uid="{0769821D-C669-423C-92C3-F8181B3A397F}"/>
    <cellStyle name="Normal 3 2 2 2 2 2 4 4 2" xfId="5199" xr:uid="{BDD90A72-4337-4D82-BF15-B505BBFA69B7}"/>
    <cellStyle name="Normal 3 2 2 2 2 2 4 4 2 2" xfId="9767" xr:uid="{0CF7CCBC-7C13-4554-9EED-8B67BEEB1A60}"/>
    <cellStyle name="Normal 3 2 2 2 2 2 4 4 3" xfId="7475" xr:uid="{AB5BAD8A-111A-411D-A076-E120E4561C64}"/>
    <cellStyle name="Normal 3 2 2 2 2 2 4 5" xfId="4189" xr:uid="{BD3BC356-DF13-479F-912D-E395B494147C}"/>
    <cellStyle name="Normal 3 2 2 2 2 2 4 5 2" xfId="8758" xr:uid="{73A11D64-1FD6-49C6-888D-2CDE0344FFE6}"/>
    <cellStyle name="Normal 3 2 2 2 2 2 4 6" xfId="6467" xr:uid="{739AD60E-2005-4A50-B7C4-48C2ACB4D557}"/>
    <cellStyle name="Normal 3 2 2 2 2 2 4 7" xfId="1547" xr:uid="{E16E5561-1877-4EA5-83B9-A640D31B3DBD}"/>
    <cellStyle name="Normal 3 2 2 2 2 2 5" xfId="1809" xr:uid="{96A34699-D802-4782-A861-C615F498643A}"/>
    <cellStyle name="Normal 3 2 2 2 2 2 5 2" xfId="2356" xr:uid="{663C5614-03C1-4D92-8E35-7BEF25D975AF}"/>
    <cellStyle name="Normal 3 2 2 2 2 2 5 2 2" xfId="3367" xr:uid="{22000FDC-7C87-440B-AA3C-43C7940C9E1C}"/>
    <cellStyle name="Normal 3 2 2 2 2 2 5 2 2 2" xfId="5791" xr:uid="{B80C66AD-81C6-44B3-BF72-7B61265C8262}"/>
    <cellStyle name="Normal 3 2 2 2 2 2 5 2 2 2 2" xfId="10359" xr:uid="{7B637237-6255-4D3C-8FC8-114064D5D15B}"/>
    <cellStyle name="Normal 3 2 2 2 2 2 5 2 2 3" xfId="8067" xr:uid="{79435920-91F3-4EB6-8FFB-B6E35F236A44}"/>
    <cellStyle name="Normal 3 2 2 2 2 2 5 2 3" xfId="4782" xr:uid="{66404370-2070-4F13-A2C7-55994024BE53}"/>
    <cellStyle name="Normal 3 2 2 2 2 2 5 2 3 2" xfId="9350" xr:uid="{2E1E39CA-589C-49D0-950C-C8C37555BC50}"/>
    <cellStyle name="Normal 3 2 2 2 2 2 5 2 4" xfId="7058" xr:uid="{088BE3DE-5F76-431E-B5CF-71CE679B52BA}"/>
    <cellStyle name="Normal 3 2 2 2 2 2 5 3" xfId="2939" xr:uid="{0FFA63CE-9059-4451-8C98-71D4A5178D1A}"/>
    <cellStyle name="Normal 3 2 2 2 2 2 5 3 2" xfId="5363" xr:uid="{D69C97DC-3245-40D4-A0EA-C2728CBD0B12}"/>
    <cellStyle name="Normal 3 2 2 2 2 2 5 3 2 2" xfId="9931" xr:uid="{BC31D0F9-680F-4845-A438-381092EBC5A0}"/>
    <cellStyle name="Normal 3 2 2 2 2 2 5 3 3" xfId="7639" xr:uid="{96FBDE9D-B31B-4051-9215-644F3B95B0A3}"/>
    <cellStyle name="Normal 3 2 2 2 2 2 5 4" xfId="4354" xr:uid="{EA3C40CF-872A-47CE-A7FC-E533898E7669}"/>
    <cellStyle name="Normal 3 2 2 2 2 2 5 4 2" xfId="8922" xr:uid="{C9CFC458-2A68-4FCC-9461-63D9647320A7}"/>
    <cellStyle name="Normal 3 2 2 2 2 2 5 5" xfId="6630" xr:uid="{08965758-5B39-46F0-B508-D94CC5555603}"/>
    <cellStyle name="Normal 3 2 2 2 2 2 6" xfId="2167" xr:uid="{3B33816F-71F6-4F17-8ECB-75722F17B0B4}"/>
    <cellStyle name="Normal 3 2 2 2 2 2 6 2" xfId="3180" xr:uid="{3A5FB4B9-B5BE-46FC-9D33-14B54D0BD010}"/>
    <cellStyle name="Normal 3 2 2 2 2 2 6 2 2" xfId="5604" xr:uid="{4E078136-3FDE-445C-962C-9764156BC71B}"/>
    <cellStyle name="Normal 3 2 2 2 2 2 6 2 2 2" xfId="10172" xr:uid="{3466E332-A6A4-4B6F-BDA7-4561B5BCB373}"/>
    <cellStyle name="Normal 3 2 2 2 2 2 6 2 3" xfId="7880" xr:uid="{A10A0549-B982-4585-AC97-E454C541F7CB}"/>
    <cellStyle name="Normal 3 2 2 2 2 2 6 3" xfId="4595" xr:uid="{EC6272F5-4648-40C0-AE85-CFBAEA604DE4}"/>
    <cellStyle name="Normal 3 2 2 2 2 2 6 3 2" xfId="9163" xr:uid="{EBD724EB-9823-4EA5-BCAE-3B1D7A22880B}"/>
    <cellStyle name="Normal 3 2 2 2 2 2 6 4" xfId="6871" xr:uid="{77C42EF5-5F04-4F47-85AF-EBE34CC4A9DD}"/>
    <cellStyle name="Normal 3 2 2 2 2 2 7" xfId="2749" xr:uid="{22F38783-A928-45D4-8702-E14427927274}"/>
    <cellStyle name="Normal 3 2 2 2 2 2 7 2" xfId="5174" xr:uid="{28DB6348-69CF-41CE-AB6A-8303BAAA7289}"/>
    <cellStyle name="Normal 3 2 2 2 2 2 7 2 2" xfId="9742" xr:uid="{DCA69A30-01B6-4A60-A9EC-21BBE17A1124}"/>
    <cellStyle name="Normal 3 2 2 2 2 2 7 3" xfId="7450" xr:uid="{4F3C8347-3135-4AE0-AAC1-0A6139823BBA}"/>
    <cellStyle name="Normal 3 2 2 2 2 2 8" xfId="4164" xr:uid="{E2E227E6-56FD-41F1-B699-6FD6DD72BF2E}"/>
    <cellStyle name="Normal 3 2 2 2 2 2 8 2" xfId="8733" xr:uid="{63DCF555-6C60-4A9B-9B3C-1BC5C2F7B27B}"/>
    <cellStyle name="Normal 3 2 2 2 2 2 9" xfId="6442" xr:uid="{AA93682F-E666-4013-A912-C5DCC3BA9081}"/>
    <cellStyle name="Normal 3 2 2 2 2 3" xfId="638" xr:uid="{00000000-0005-0000-0000-00009C030000}"/>
    <cellStyle name="Normal 3 2 2 2 2 3 2" xfId="639" xr:uid="{00000000-0005-0000-0000-00009D030000}"/>
    <cellStyle name="Normal 3 2 2 2 2 3 2 2" xfId="1836" xr:uid="{D55F7868-EE39-43AD-A545-BCE98CEA1BDE}"/>
    <cellStyle name="Normal 3 2 2 2 2 3 2 2 2" xfId="2383" xr:uid="{551E9ECC-3C8A-48E2-917A-D38651ADD13D}"/>
    <cellStyle name="Normal 3 2 2 2 2 3 2 2 2 2" xfId="3394" xr:uid="{2DDB3E63-44EA-40A1-AFAC-81BAEE1C45D6}"/>
    <cellStyle name="Normal 3 2 2 2 2 3 2 2 2 2 2" xfId="5818" xr:uid="{9861D530-35D0-4BFB-8254-99CB6772D10E}"/>
    <cellStyle name="Normal 3 2 2 2 2 3 2 2 2 2 2 2" xfId="10386" xr:uid="{3727CB84-9D3E-4715-9698-7EA9FDF1E47E}"/>
    <cellStyle name="Normal 3 2 2 2 2 3 2 2 2 2 3" xfId="8094" xr:uid="{68A8D59D-6E16-49BB-9D9B-D2D7A1A30B37}"/>
    <cellStyle name="Normal 3 2 2 2 2 3 2 2 2 3" xfId="4809" xr:uid="{19C0CDB6-5F83-4977-9EAE-A92C2A47E467}"/>
    <cellStyle name="Normal 3 2 2 2 2 3 2 2 2 3 2" xfId="9377" xr:uid="{56B71507-F012-4F67-A15D-51B74AA86228}"/>
    <cellStyle name="Normal 3 2 2 2 2 3 2 2 2 4" xfId="7085" xr:uid="{84AF0DE8-A8C4-4960-9DF8-A5B083F38A59}"/>
    <cellStyle name="Normal 3 2 2 2 2 3 2 2 3" xfId="2966" xr:uid="{62C7C5D7-089F-4A3E-BC75-737ADCDAFEA9}"/>
    <cellStyle name="Normal 3 2 2 2 2 3 2 2 3 2" xfId="5390" xr:uid="{BB1A8775-1E02-4837-B6CB-9FE6C8511487}"/>
    <cellStyle name="Normal 3 2 2 2 2 3 2 2 3 2 2" xfId="9958" xr:uid="{1A9CF198-1A5E-4B81-BC5C-42C86FBFE45B}"/>
    <cellStyle name="Normal 3 2 2 2 2 3 2 2 3 3" xfId="7666" xr:uid="{92E7F1F6-9F1D-449B-8954-E543B452ED60}"/>
    <cellStyle name="Normal 3 2 2 2 2 3 2 2 4" xfId="4381" xr:uid="{AF80E7EE-2ED4-4020-B47A-D3F0183FB830}"/>
    <cellStyle name="Normal 3 2 2 2 2 3 2 2 4 2" xfId="8949" xr:uid="{1FFAD9D1-7715-49E6-8254-80AA965B4F5E}"/>
    <cellStyle name="Normal 3 2 2 2 2 3 2 2 5" xfId="6657" xr:uid="{33F0A59E-91BF-418D-95A8-F60766B926A7}"/>
    <cellStyle name="Normal 3 2 2 2 2 3 2 3" xfId="2194" xr:uid="{77917E47-7586-437A-BD8F-EFEE3D78192B}"/>
    <cellStyle name="Normal 3 2 2 2 2 3 2 3 2" xfId="3207" xr:uid="{CA018A51-705C-4AAF-B2D3-CDD29F20BACE}"/>
    <cellStyle name="Normal 3 2 2 2 2 3 2 3 2 2" xfId="5631" xr:uid="{31270E96-1584-4CCF-923C-3866FCD4FAD9}"/>
    <cellStyle name="Normal 3 2 2 2 2 3 2 3 2 2 2" xfId="10199" xr:uid="{A325BD49-4910-4418-B241-A808807496C9}"/>
    <cellStyle name="Normal 3 2 2 2 2 3 2 3 2 3" xfId="7907" xr:uid="{0C4B6320-5E37-4D21-B731-6033DE531850}"/>
    <cellStyle name="Normal 3 2 2 2 2 3 2 3 3" xfId="4622" xr:uid="{332FB4B4-CC48-4A57-964E-21221F240CAD}"/>
    <cellStyle name="Normal 3 2 2 2 2 3 2 3 3 2" xfId="9190" xr:uid="{BD4887F1-30A4-407B-AF8A-4345FF1D63DF}"/>
    <cellStyle name="Normal 3 2 2 2 2 3 2 3 4" xfId="6898" xr:uid="{5CB8C9CE-F282-4E1E-A8D9-E33EC9D3802E}"/>
    <cellStyle name="Normal 3 2 2 2 2 3 2 4" xfId="2776" xr:uid="{54FAFFD4-9F36-465F-A6FB-32B90A1B4A5B}"/>
    <cellStyle name="Normal 3 2 2 2 2 3 2 4 2" xfId="5201" xr:uid="{B02BCF76-8996-4647-A5ED-2E423042246C}"/>
    <cellStyle name="Normal 3 2 2 2 2 3 2 4 2 2" xfId="9769" xr:uid="{B1088DC3-C406-4738-8231-FE7A4B495738}"/>
    <cellStyle name="Normal 3 2 2 2 2 3 2 4 3" xfId="7477" xr:uid="{B514D65F-E563-4950-A684-873B0A51C56D}"/>
    <cellStyle name="Normal 3 2 2 2 2 3 2 5" xfId="4191" xr:uid="{3665D561-6D17-4E53-BD27-840604D922FF}"/>
    <cellStyle name="Normal 3 2 2 2 2 3 2 5 2" xfId="8760" xr:uid="{360AFBD8-4306-43EA-8B8D-46377F24EB3A}"/>
    <cellStyle name="Normal 3 2 2 2 2 3 2 6" xfId="6469" xr:uid="{8394CAEF-D4F1-4AC7-A122-2E202880AA07}"/>
    <cellStyle name="Normal 3 2 2 2 2 3 2 7" xfId="1549" xr:uid="{0BEE87AA-D0B6-421B-8CC8-D9BF25CC9913}"/>
    <cellStyle name="Normal 3 2 2 2 2 3 3" xfId="1835" xr:uid="{BD594804-5466-45F7-B320-CB93ED65BEB4}"/>
    <cellStyle name="Normal 3 2 2 2 2 3 3 2" xfId="2382" xr:uid="{8881300F-955E-4725-AAD4-34D0DC2CC599}"/>
    <cellStyle name="Normal 3 2 2 2 2 3 3 2 2" xfId="3393" xr:uid="{A8E45BC6-A9C3-492C-8967-61C373D55126}"/>
    <cellStyle name="Normal 3 2 2 2 2 3 3 2 2 2" xfId="5817" xr:uid="{0BA94E40-F1D2-4123-8FE5-EDB7F5656666}"/>
    <cellStyle name="Normal 3 2 2 2 2 3 3 2 2 2 2" xfId="10385" xr:uid="{B907AD5E-5303-48E0-88AE-73989E01C9B4}"/>
    <cellStyle name="Normal 3 2 2 2 2 3 3 2 2 3" xfId="8093" xr:uid="{78BF5D2C-87F9-41F9-8AD6-13AD1109A023}"/>
    <cellStyle name="Normal 3 2 2 2 2 3 3 2 3" xfId="4808" xr:uid="{5B80EF48-6096-44D8-AD31-05D888F66E80}"/>
    <cellStyle name="Normal 3 2 2 2 2 3 3 2 3 2" xfId="9376" xr:uid="{E5A04A17-0B00-424C-8935-170F9EA0D2F5}"/>
    <cellStyle name="Normal 3 2 2 2 2 3 3 2 4" xfId="7084" xr:uid="{41ED4ECF-A9D2-4327-B834-B7223F43F08B}"/>
    <cellStyle name="Normal 3 2 2 2 2 3 3 3" xfId="2965" xr:uid="{1F05E9D0-6FE6-4628-9972-44987D54B814}"/>
    <cellStyle name="Normal 3 2 2 2 2 3 3 3 2" xfId="5389" xr:uid="{B9DB5AFE-3601-4F58-952B-6B928A714228}"/>
    <cellStyle name="Normal 3 2 2 2 2 3 3 3 2 2" xfId="9957" xr:uid="{5EB8CA1A-045D-4A2F-9A7A-4B1A6E09486A}"/>
    <cellStyle name="Normal 3 2 2 2 2 3 3 3 3" xfId="7665" xr:uid="{6E78C9D1-67A5-4B6D-A253-D4BE5F829B69}"/>
    <cellStyle name="Normal 3 2 2 2 2 3 3 4" xfId="4380" xr:uid="{2BE37E49-C579-4037-B9D6-A48389ED096A}"/>
    <cellStyle name="Normal 3 2 2 2 2 3 3 4 2" xfId="8948" xr:uid="{B770DAB9-58A7-444B-825C-191BA607C568}"/>
    <cellStyle name="Normal 3 2 2 2 2 3 3 5" xfId="6656" xr:uid="{3DD0B295-185A-430E-81B4-70767991C356}"/>
    <cellStyle name="Normal 3 2 2 2 2 3 4" xfId="2193" xr:uid="{BD0140E3-A945-414F-B530-57D3DA20AD38}"/>
    <cellStyle name="Normal 3 2 2 2 2 3 4 2" xfId="3206" xr:uid="{CC7BD841-CCDE-44A4-947B-14448B817636}"/>
    <cellStyle name="Normal 3 2 2 2 2 3 4 2 2" xfId="5630" xr:uid="{CE267615-3C5C-413C-9F6E-C6FA5E105919}"/>
    <cellStyle name="Normal 3 2 2 2 2 3 4 2 2 2" xfId="10198" xr:uid="{B377A86E-F991-4B40-9EA9-73C0BF131210}"/>
    <cellStyle name="Normal 3 2 2 2 2 3 4 2 3" xfId="7906" xr:uid="{8013DDE9-B3FB-4FE2-A408-4BC70E9C9753}"/>
    <cellStyle name="Normal 3 2 2 2 2 3 4 3" xfId="4621" xr:uid="{C9F7BF3D-AE89-48AE-A84B-265625A7D13C}"/>
    <cellStyle name="Normal 3 2 2 2 2 3 4 3 2" xfId="9189" xr:uid="{77EC44EB-7FE2-4EF2-B6E0-E6B7A2CE8106}"/>
    <cellStyle name="Normal 3 2 2 2 2 3 4 4" xfId="6897" xr:uid="{8DDCCF9D-86B5-43C8-BDA2-E819F188C51E}"/>
    <cellStyle name="Normal 3 2 2 2 2 3 5" xfId="2775" xr:uid="{20EF989F-522E-4A94-8B75-5D3640B34B35}"/>
    <cellStyle name="Normal 3 2 2 2 2 3 5 2" xfId="5200" xr:uid="{CB9EF7B1-7518-4AC0-8DED-0C4809264EC2}"/>
    <cellStyle name="Normal 3 2 2 2 2 3 5 2 2" xfId="9768" xr:uid="{38D265B2-3EAD-4552-87B6-3A99A4D80E00}"/>
    <cellStyle name="Normal 3 2 2 2 2 3 5 3" xfId="7476" xr:uid="{008B270E-C392-4515-B98D-5B2C1098DBCC}"/>
    <cellStyle name="Normal 3 2 2 2 2 3 6" xfId="4190" xr:uid="{6A7DCDAC-C69D-4675-933E-F54E13800257}"/>
    <cellStyle name="Normal 3 2 2 2 2 3 6 2" xfId="8759" xr:uid="{71244B5B-ACFF-4615-813A-7D8A3F1C5C7F}"/>
    <cellStyle name="Normal 3 2 2 2 2 3 7" xfId="6468" xr:uid="{D497D711-FA96-41AB-B629-6CEA327CE861}"/>
    <cellStyle name="Normal 3 2 2 2 2 3 8" xfId="1548" xr:uid="{6D7C3903-8F8C-40BB-851C-E1FE9E3FC8B9}"/>
    <cellStyle name="Normal 3 2 2 2 2 4" xfId="640" xr:uid="{00000000-0005-0000-0000-00009E030000}"/>
    <cellStyle name="Normal 3 2 2 2 2 4 2" xfId="1837" xr:uid="{1CBE5284-6EAE-4F90-9BD3-C31835BF1694}"/>
    <cellStyle name="Normal 3 2 2 2 2 4 2 2" xfId="2384" xr:uid="{37F31D48-BE4A-45DB-998E-899CD0B79BD3}"/>
    <cellStyle name="Normal 3 2 2 2 2 4 2 2 2" xfId="3395" xr:uid="{F558F7CF-F182-43CB-A835-2B297E01F4E7}"/>
    <cellStyle name="Normal 3 2 2 2 2 4 2 2 2 2" xfId="5819" xr:uid="{D5F930CE-61B8-4D91-94F8-9B8B5C641F09}"/>
    <cellStyle name="Normal 3 2 2 2 2 4 2 2 2 2 2" xfId="10387" xr:uid="{3FDF8AEC-7A80-447F-BE5B-37BF79F15621}"/>
    <cellStyle name="Normal 3 2 2 2 2 4 2 2 2 3" xfId="8095" xr:uid="{BB0225E4-C799-4CDA-8BC9-E3703C0D950A}"/>
    <cellStyle name="Normal 3 2 2 2 2 4 2 2 3" xfId="4810" xr:uid="{03E8AB50-3B97-4778-8BEC-D821C273169D}"/>
    <cellStyle name="Normal 3 2 2 2 2 4 2 2 3 2" xfId="9378" xr:uid="{82AA884E-573F-43F0-8087-F9B70DDDB323}"/>
    <cellStyle name="Normal 3 2 2 2 2 4 2 2 4" xfId="7086" xr:uid="{72C65D82-E966-4A3A-AD4A-2872E0379058}"/>
    <cellStyle name="Normal 3 2 2 2 2 4 2 3" xfId="2967" xr:uid="{DAA2405A-E972-4DCA-9582-E321056268E0}"/>
    <cellStyle name="Normal 3 2 2 2 2 4 2 3 2" xfId="5391" xr:uid="{22052B1F-0C10-4BB9-A9A4-B4EB49964EB6}"/>
    <cellStyle name="Normal 3 2 2 2 2 4 2 3 2 2" xfId="9959" xr:uid="{CE9B2517-1262-46F0-9260-8B9D9B72A04B}"/>
    <cellStyle name="Normal 3 2 2 2 2 4 2 3 3" xfId="7667" xr:uid="{0BC64EED-4154-4CCA-B619-EF0582DFCC07}"/>
    <cellStyle name="Normal 3 2 2 2 2 4 2 4" xfId="4382" xr:uid="{C1E19677-7A2A-46FE-A0B7-0333F28B3B59}"/>
    <cellStyle name="Normal 3 2 2 2 2 4 2 4 2" xfId="8950" xr:uid="{C52BA360-6694-4688-9155-DF5B32949A94}"/>
    <cellStyle name="Normal 3 2 2 2 2 4 2 5" xfId="6658" xr:uid="{A1E5DAD0-E079-40F9-A31E-41E34038227A}"/>
    <cellStyle name="Normal 3 2 2 2 2 4 3" xfId="2195" xr:uid="{3A448F3D-7E9D-4ECA-BF9E-69D35F32E253}"/>
    <cellStyle name="Normal 3 2 2 2 2 4 3 2" xfId="3208" xr:uid="{ECE7D24C-0E2B-49E2-9ABC-2B9F653321D8}"/>
    <cellStyle name="Normal 3 2 2 2 2 4 3 2 2" xfId="5632" xr:uid="{D342DC02-C273-49F9-A563-3F8A1FF7EE3C}"/>
    <cellStyle name="Normal 3 2 2 2 2 4 3 2 2 2" xfId="10200" xr:uid="{1F5940FB-E1DC-4612-AA50-F09BE7586788}"/>
    <cellStyle name="Normal 3 2 2 2 2 4 3 2 3" xfId="7908" xr:uid="{E983C8C2-DA44-4635-B6E1-18657019D29E}"/>
    <cellStyle name="Normal 3 2 2 2 2 4 3 3" xfId="4623" xr:uid="{9195E701-54F3-4421-933F-B5C87CFFC461}"/>
    <cellStyle name="Normal 3 2 2 2 2 4 3 3 2" xfId="9191" xr:uid="{8254215A-148D-429E-8DDD-1B25F9904C75}"/>
    <cellStyle name="Normal 3 2 2 2 2 4 3 4" xfId="6899" xr:uid="{23043446-A670-46F1-BF95-A416D6E2A790}"/>
    <cellStyle name="Normal 3 2 2 2 2 4 4" xfId="2777" xr:uid="{E0FF8CF8-6048-4051-B7D5-4E33C52DFC80}"/>
    <cellStyle name="Normal 3 2 2 2 2 4 4 2" xfId="5202" xr:uid="{EB740305-4504-4A81-A449-D1D2B0C451F2}"/>
    <cellStyle name="Normal 3 2 2 2 2 4 4 2 2" xfId="9770" xr:uid="{991117EF-1B3B-4111-B023-4EB8C6825940}"/>
    <cellStyle name="Normal 3 2 2 2 2 4 4 3" xfId="7478" xr:uid="{CB708931-CEDD-4933-8017-4F1716FC5015}"/>
    <cellStyle name="Normal 3 2 2 2 2 4 5" xfId="4192" xr:uid="{2562A944-763B-46C2-B0B3-B3E3BAE90F41}"/>
    <cellStyle name="Normal 3 2 2 2 2 4 5 2" xfId="8761" xr:uid="{C3C84DD0-0F7C-4562-A63B-04663BF40086}"/>
    <cellStyle name="Normal 3 2 2 2 2 4 6" xfId="6470" xr:uid="{CC554873-9646-43FB-ADE0-98CA3C6FBFC5}"/>
    <cellStyle name="Normal 3 2 2 2 2 4 7" xfId="1550" xr:uid="{A0904385-2BA3-44D4-937D-6F7FE8C0CF8B}"/>
    <cellStyle name="Normal 3 2 2 2 2 5" xfId="1808" xr:uid="{0DDE5481-BDE1-45CC-9DC2-FABDDE884527}"/>
    <cellStyle name="Normal 3 2 2 2 2 5 2" xfId="2355" xr:uid="{03713DCB-FDC3-4045-A9B6-8701CBC8A6BD}"/>
    <cellStyle name="Normal 3 2 2 2 2 5 2 2" xfId="3366" xr:uid="{E24B8E13-E7F2-49EB-91C8-D2CDD32F1498}"/>
    <cellStyle name="Normal 3 2 2 2 2 5 2 2 2" xfId="5790" xr:uid="{69D4F71F-2284-487D-8753-ADB46A5941FE}"/>
    <cellStyle name="Normal 3 2 2 2 2 5 2 2 2 2" xfId="10358" xr:uid="{D5850BB4-74A0-4340-AF8A-2E4F2E85D294}"/>
    <cellStyle name="Normal 3 2 2 2 2 5 2 2 3" xfId="8066" xr:uid="{19BD023B-BAD5-4FCF-BB35-7E91902F52F3}"/>
    <cellStyle name="Normal 3 2 2 2 2 5 2 3" xfId="4781" xr:uid="{F61B5252-6894-4FC7-86F4-C9D80F080724}"/>
    <cellStyle name="Normal 3 2 2 2 2 5 2 3 2" xfId="9349" xr:uid="{C9BA8637-9DD0-486C-BE97-59F36651C3DB}"/>
    <cellStyle name="Normal 3 2 2 2 2 5 2 4" xfId="7057" xr:uid="{7A97ECBF-F1E4-422C-84A2-9C5A690A8F67}"/>
    <cellStyle name="Normal 3 2 2 2 2 5 3" xfId="2938" xr:uid="{364F4EAB-C4FC-4C68-9DE7-49D847236281}"/>
    <cellStyle name="Normal 3 2 2 2 2 5 3 2" xfId="5362" xr:uid="{607DD1F5-E035-4B4A-9FCF-18E5079D79B7}"/>
    <cellStyle name="Normal 3 2 2 2 2 5 3 2 2" xfId="9930" xr:uid="{C60515D4-97CA-4D16-9296-04701C09BA29}"/>
    <cellStyle name="Normal 3 2 2 2 2 5 3 3" xfId="7638" xr:uid="{B9520EFA-A0B9-4B87-A5EA-3CA77F4C1F00}"/>
    <cellStyle name="Normal 3 2 2 2 2 5 4" xfId="4353" xr:uid="{7DE6BA31-D39C-46CE-800B-42D3DD406489}"/>
    <cellStyle name="Normal 3 2 2 2 2 5 4 2" xfId="8921" xr:uid="{06B6607F-F9DD-417B-B996-843A223EEF01}"/>
    <cellStyle name="Normal 3 2 2 2 2 5 5" xfId="6629" xr:uid="{DD5BD43C-55DB-440B-A3FE-0D1856451FAC}"/>
    <cellStyle name="Normal 3 2 2 2 2 6" xfId="2166" xr:uid="{598453BF-A4BD-42E6-97AB-9E3E44199B1E}"/>
    <cellStyle name="Normal 3 2 2 2 2 6 2" xfId="3179" xr:uid="{D0F05FFC-D090-4C18-968C-87F0336B1563}"/>
    <cellStyle name="Normal 3 2 2 2 2 6 2 2" xfId="5603" xr:uid="{6DD83565-D421-4397-BE9F-3544DCDF2DD3}"/>
    <cellStyle name="Normal 3 2 2 2 2 6 2 2 2" xfId="10171" xr:uid="{0DDA1872-6482-411F-9D1F-EB6B54457E24}"/>
    <cellStyle name="Normal 3 2 2 2 2 6 2 3" xfId="7879" xr:uid="{5E129BED-0F7E-4F7E-B77C-14CAF10A4BCD}"/>
    <cellStyle name="Normal 3 2 2 2 2 6 3" xfId="4594" xr:uid="{8B99EDDE-C8A9-48D8-8767-DC0443138F1D}"/>
    <cellStyle name="Normal 3 2 2 2 2 6 3 2" xfId="9162" xr:uid="{47FD2BCA-B48F-4DCC-B087-D3CF0544D137}"/>
    <cellStyle name="Normal 3 2 2 2 2 6 4" xfId="6870" xr:uid="{B8FF474A-40E0-4113-BBC1-CC6A743F4744}"/>
    <cellStyle name="Normal 3 2 2 2 2 7" xfId="2748" xr:uid="{92872ED0-0990-4A92-8850-F667CA4DA176}"/>
    <cellStyle name="Normal 3 2 2 2 2 7 2" xfId="5173" xr:uid="{B1C5B1C3-3BDC-4D96-A8E9-4C9E1E050F99}"/>
    <cellStyle name="Normal 3 2 2 2 2 7 2 2" xfId="9741" xr:uid="{72658923-E6E3-478F-B601-D65496CA2658}"/>
    <cellStyle name="Normal 3 2 2 2 2 7 3" xfId="7449" xr:uid="{608E47CD-E2CE-4D43-9376-F5DFC735CEB6}"/>
    <cellStyle name="Normal 3 2 2 2 2 8" xfId="4163" xr:uid="{04E9089C-10E8-4F52-A38D-88008B46DF08}"/>
    <cellStyle name="Normal 3 2 2 2 2 8 2" xfId="8732" xr:uid="{9455D719-2018-4F3F-8B03-6F546D5ADC1F}"/>
    <cellStyle name="Normal 3 2 2 2 2 9" xfId="6441" xr:uid="{F17B5E55-FEA2-40CC-A7CF-734FF6F949A0}"/>
    <cellStyle name="Normal 3 2 2 2 3" xfId="641" xr:uid="{00000000-0005-0000-0000-00009F030000}"/>
    <cellStyle name="Normal 3 2 2 2 3 2" xfId="642" xr:uid="{00000000-0005-0000-0000-0000A0030000}"/>
    <cellStyle name="Normal 3 2 2 2 3 2 2" xfId="1839" xr:uid="{A07281C2-3015-48EC-A848-AC350219F931}"/>
    <cellStyle name="Normal 3 2 2 2 3 2 2 2" xfId="2386" xr:uid="{AB613329-8F9F-4197-B2FF-040379671673}"/>
    <cellStyle name="Normal 3 2 2 2 3 2 2 2 2" xfId="3397" xr:uid="{D7ADB059-CC4D-4184-BFD9-BEB50EFB4987}"/>
    <cellStyle name="Normal 3 2 2 2 3 2 2 2 2 2" xfId="5821" xr:uid="{CC8D6D85-53B1-4443-BB23-AE538C86D082}"/>
    <cellStyle name="Normal 3 2 2 2 3 2 2 2 2 2 2" xfId="10389" xr:uid="{8D418E85-D7B8-4D24-9602-EF331CC3B6F5}"/>
    <cellStyle name="Normal 3 2 2 2 3 2 2 2 2 3" xfId="8097" xr:uid="{C30A4415-12F3-4C88-8C5E-5D39AA4676BC}"/>
    <cellStyle name="Normal 3 2 2 2 3 2 2 2 3" xfId="4812" xr:uid="{67E7D69F-65BA-4CD2-99A1-7423AC0ECDA9}"/>
    <cellStyle name="Normal 3 2 2 2 3 2 2 2 3 2" xfId="9380" xr:uid="{2CE7DCB8-6039-44BC-9F37-5199B1B88D93}"/>
    <cellStyle name="Normal 3 2 2 2 3 2 2 2 4" xfId="7088" xr:uid="{0CFC16C5-382E-43FE-B4D1-5D03153F11B9}"/>
    <cellStyle name="Normal 3 2 2 2 3 2 2 3" xfId="2969" xr:uid="{D7046EA1-76D8-4707-9F01-8C8E78BD83CA}"/>
    <cellStyle name="Normal 3 2 2 2 3 2 2 3 2" xfId="5393" xr:uid="{90BA0C22-D006-43A6-8890-98652DCE540C}"/>
    <cellStyle name="Normal 3 2 2 2 3 2 2 3 2 2" xfId="9961" xr:uid="{CB7DF9DD-EC87-4099-AF60-A94FF6B4AA15}"/>
    <cellStyle name="Normal 3 2 2 2 3 2 2 3 3" xfId="7669" xr:uid="{8AD91659-A45C-4B0E-8111-640B83614352}"/>
    <cellStyle name="Normal 3 2 2 2 3 2 2 4" xfId="4384" xr:uid="{50E13844-2DC3-49D2-B138-4851250E1E28}"/>
    <cellStyle name="Normal 3 2 2 2 3 2 2 4 2" xfId="8952" xr:uid="{279D56E6-4AD5-45FD-AB02-3EE7A20A2C2D}"/>
    <cellStyle name="Normal 3 2 2 2 3 2 2 5" xfId="6660" xr:uid="{8A9AB839-F6B9-477A-8502-67D67794D520}"/>
    <cellStyle name="Normal 3 2 2 2 3 2 3" xfId="2197" xr:uid="{42495C4B-115E-4822-B3CF-8725034F34D5}"/>
    <cellStyle name="Normal 3 2 2 2 3 2 3 2" xfId="3210" xr:uid="{5CD8458A-6909-4D0F-A39E-0782712B0231}"/>
    <cellStyle name="Normal 3 2 2 2 3 2 3 2 2" xfId="5634" xr:uid="{787310CE-C583-4656-BD4A-52635309D897}"/>
    <cellStyle name="Normal 3 2 2 2 3 2 3 2 2 2" xfId="10202" xr:uid="{D1FF3D3B-4184-49E5-8CD6-11312AA59A2C}"/>
    <cellStyle name="Normal 3 2 2 2 3 2 3 2 3" xfId="7910" xr:uid="{ADF7F3C3-D849-4E66-B906-CD3BAD0DE569}"/>
    <cellStyle name="Normal 3 2 2 2 3 2 3 3" xfId="4625" xr:uid="{CDEDC9F5-508E-40C6-8745-9ACE78F2A25B}"/>
    <cellStyle name="Normal 3 2 2 2 3 2 3 3 2" xfId="9193" xr:uid="{FEDD3418-1F9E-43E5-B721-5C21BFA75E0E}"/>
    <cellStyle name="Normal 3 2 2 2 3 2 3 4" xfId="6901" xr:uid="{09B9698C-EA91-4D89-8E28-C3EE44B6515E}"/>
    <cellStyle name="Normal 3 2 2 2 3 2 4" xfId="2779" xr:uid="{7D942F41-5486-458D-8CFE-2A0DCE847E65}"/>
    <cellStyle name="Normal 3 2 2 2 3 2 4 2" xfId="5204" xr:uid="{E21F47B6-4191-4741-811C-2D2C0C625637}"/>
    <cellStyle name="Normal 3 2 2 2 3 2 4 2 2" xfId="9772" xr:uid="{FA1CB580-7AA3-4B55-9993-770962C65143}"/>
    <cellStyle name="Normal 3 2 2 2 3 2 4 3" xfId="7480" xr:uid="{280816B8-EB9C-467C-87D0-FB845C89E3CF}"/>
    <cellStyle name="Normal 3 2 2 2 3 2 5" xfId="4194" xr:uid="{F10B8392-0263-42D5-83EA-86D5365C2B95}"/>
    <cellStyle name="Normal 3 2 2 2 3 2 5 2" xfId="8763" xr:uid="{86A04EA9-854A-45F4-8BAA-ACC5F342A594}"/>
    <cellStyle name="Normal 3 2 2 2 3 2 6" xfId="6472" xr:uid="{CC8BD669-1064-4B4B-B433-649BCD09C11F}"/>
    <cellStyle name="Normal 3 2 2 2 3 2 7" xfId="1552" xr:uid="{693B5345-9F10-43F9-BB07-8209B73DC12D}"/>
    <cellStyle name="Normal 3 2 2 2 3 3" xfId="1838" xr:uid="{12D14357-2EC7-4FC9-B0CE-1AEA2DFBE548}"/>
    <cellStyle name="Normal 3 2 2 2 3 3 2" xfId="2385" xr:uid="{788AC367-F7C1-40DF-9846-E16920E09709}"/>
    <cellStyle name="Normal 3 2 2 2 3 3 2 2" xfId="3396" xr:uid="{F4828D52-02F0-4F29-99FE-8664A22C99DE}"/>
    <cellStyle name="Normal 3 2 2 2 3 3 2 2 2" xfId="5820" xr:uid="{F5B7C597-9620-4446-B361-EF093C259125}"/>
    <cellStyle name="Normal 3 2 2 2 3 3 2 2 2 2" xfId="10388" xr:uid="{A5B8996B-C3AD-4BB3-87B7-B1F3967A7967}"/>
    <cellStyle name="Normal 3 2 2 2 3 3 2 2 3" xfId="8096" xr:uid="{C41695C2-4CD8-416C-86B5-FB86780430FC}"/>
    <cellStyle name="Normal 3 2 2 2 3 3 2 3" xfId="4811" xr:uid="{A4FC1792-A947-4A55-A398-88E1993EC337}"/>
    <cellStyle name="Normal 3 2 2 2 3 3 2 3 2" xfId="9379" xr:uid="{C9CE32E1-F4E9-4EF1-90BF-43702769EF59}"/>
    <cellStyle name="Normal 3 2 2 2 3 3 2 4" xfId="7087" xr:uid="{3415EFB8-2F71-402F-9DF1-545EA9B8070D}"/>
    <cellStyle name="Normal 3 2 2 2 3 3 3" xfId="2968" xr:uid="{7EE87A3A-E325-4B1B-9CEB-8061C980838B}"/>
    <cellStyle name="Normal 3 2 2 2 3 3 3 2" xfId="5392" xr:uid="{D716457F-9E13-4BB0-88C7-0E4164906D76}"/>
    <cellStyle name="Normal 3 2 2 2 3 3 3 2 2" xfId="9960" xr:uid="{BC5CE472-3C42-4DDF-820B-DD39F42F5857}"/>
    <cellStyle name="Normal 3 2 2 2 3 3 3 3" xfId="7668" xr:uid="{0BC6E70C-6B49-4DF3-8D1B-5754F9CA9C46}"/>
    <cellStyle name="Normal 3 2 2 2 3 3 4" xfId="4383" xr:uid="{87CE068B-6065-42F1-A2CC-98E1BE3E5884}"/>
    <cellStyle name="Normal 3 2 2 2 3 3 4 2" xfId="8951" xr:uid="{47C25F93-E7FB-45C5-BAA5-04F8174D0E46}"/>
    <cellStyle name="Normal 3 2 2 2 3 3 5" xfId="6659" xr:uid="{AA104147-8E55-4114-A57B-D6291E048035}"/>
    <cellStyle name="Normal 3 2 2 2 3 4" xfId="2196" xr:uid="{BDC425E0-840D-4113-A84B-688457FEEFB5}"/>
    <cellStyle name="Normal 3 2 2 2 3 4 2" xfId="3209" xr:uid="{1B1C2E94-0F39-4DBD-9592-1CC1CF7B36C7}"/>
    <cellStyle name="Normal 3 2 2 2 3 4 2 2" xfId="5633" xr:uid="{0843C77C-C157-4762-98FE-5B8C645D0DEC}"/>
    <cellStyle name="Normal 3 2 2 2 3 4 2 2 2" xfId="10201" xr:uid="{CB156174-A835-4697-993E-AB69E75499AD}"/>
    <cellStyle name="Normal 3 2 2 2 3 4 2 3" xfId="7909" xr:uid="{C531D6D7-E34E-49B1-8B18-F108DB5FE8FF}"/>
    <cellStyle name="Normal 3 2 2 2 3 4 3" xfId="4624" xr:uid="{547202E4-2611-4FC1-9F72-CEA4383D06E4}"/>
    <cellStyle name="Normal 3 2 2 2 3 4 3 2" xfId="9192" xr:uid="{775FB637-05AC-408A-ABA5-23D3F815AD1B}"/>
    <cellStyle name="Normal 3 2 2 2 3 4 4" xfId="6900" xr:uid="{28EE5B45-EAC4-4E17-8F91-C30991099893}"/>
    <cellStyle name="Normal 3 2 2 2 3 5" xfId="2778" xr:uid="{81760CD7-B631-4F2F-851F-16093BD1F461}"/>
    <cellStyle name="Normal 3 2 2 2 3 5 2" xfId="5203" xr:uid="{CF86C9D6-ABE6-465C-93CC-86205111D476}"/>
    <cellStyle name="Normal 3 2 2 2 3 5 2 2" xfId="9771" xr:uid="{0B923599-D27B-49F9-B19E-6BBAEF82A4A1}"/>
    <cellStyle name="Normal 3 2 2 2 3 5 3" xfId="7479" xr:uid="{3106D136-CF7C-4EBD-BEDE-BBD36220F13C}"/>
    <cellStyle name="Normal 3 2 2 2 3 6" xfId="4193" xr:uid="{C3B72C4E-8612-4376-9881-C737E84C1297}"/>
    <cellStyle name="Normal 3 2 2 2 3 6 2" xfId="8762" xr:uid="{C72D38BA-9FCC-400D-83C8-EC1782CBB0AC}"/>
    <cellStyle name="Normal 3 2 2 2 3 7" xfId="6471" xr:uid="{9B970385-9894-4AAA-A45B-B1BBC5F78EC5}"/>
    <cellStyle name="Normal 3 2 2 2 3 8" xfId="1551" xr:uid="{C7469B71-373C-42DC-B4C0-062B20B47F76}"/>
    <cellStyle name="Normal 3 2 2 2 4" xfId="643" xr:uid="{00000000-0005-0000-0000-0000A1030000}"/>
    <cellStyle name="Normal 3 2 2 2 4 2" xfId="1840" xr:uid="{1BEF3967-4B99-4E1E-A994-F9903EB2C311}"/>
    <cellStyle name="Normal 3 2 2 2 4 2 2" xfId="2387" xr:uid="{E9DDEF19-CEAA-4909-9F56-4D1A8CBF09B1}"/>
    <cellStyle name="Normal 3 2 2 2 4 2 2 2" xfId="3398" xr:uid="{1BE6D14F-F5AB-4C4A-9EAF-6FA857EC31AA}"/>
    <cellStyle name="Normal 3 2 2 2 4 2 2 2 2" xfId="5822" xr:uid="{1D20549A-5AD6-4395-9FBF-22338D0B2588}"/>
    <cellStyle name="Normal 3 2 2 2 4 2 2 2 2 2" xfId="10390" xr:uid="{43929488-C914-47A9-B812-DF0D1378C3DE}"/>
    <cellStyle name="Normal 3 2 2 2 4 2 2 2 3" xfId="8098" xr:uid="{F4020E23-0D57-470A-BAF7-0F7D9DAABB91}"/>
    <cellStyle name="Normal 3 2 2 2 4 2 2 3" xfId="4813" xr:uid="{58DEE266-2FE8-4313-933D-5993AD520ADB}"/>
    <cellStyle name="Normal 3 2 2 2 4 2 2 3 2" xfId="9381" xr:uid="{78D1EBAD-8F59-4C9C-A53B-736B6F5818EC}"/>
    <cellStyle name="Normal 3 2 2 2 4 2 2 4" xfId="7089" xr:uid="{333BD7CD-3846-435F-AE05-3F79886F1054}"/>
    <cellStyle name="Normal 3 2 2 2 4 2 3" xfId="2970" xr:uid="{247B8C66-64A2-4A36-8246-B7BDD69D5F14}"/>
    <cellStyle name="Normal 3 2 2 2 4 2 3 2" xfId="5394" xr:uid="{2D4F120E-5DFC-4933-9779-0CEC094AC6E0}"/>
    <cellStyle name="Normal 3 2 2 2 4 2 3 2 2" xfId="9962" xr:uid="{1FE4E9AB-0535-47D1-A7E8-D4E6AE68500D}"/>
    <cellStyle name="Normal 3 2 2 2 4 2 3 3" xfId="7670" xr:uid="{1DA94E86-EEAE-4C44-8D30-B558D7C1F206}"/>
    <cellStyle name="Normal 3 2 2 2 4 2 4" xfId="4385" xr:uid="{FA0DC625-1D77-422D-AD59-D43386E15212}"/>
    <cellStyle name="Normal 3 2 2 2 4 2 4 2" xfId="8953" xr:uid="{53F7432E-1402-4D94-B358-234DE6A466B6}"/>
    <cellStyle name="Normal 3 2 2 2 4 2 5" xfId="6661" xr:uid="{7D5076E3-704E-4009-8C9C-31ABFF9E1C56}"/>
    <cellStyle name="Normal 3 2 2 2 4 3" xfId="2198" xr:uid="{1631BF88-414C-4DEC-98C4-0ED8C37E4EA4}"/>
    <cellStyle name="Normal 3 2 2 2 4 3 2" xfId="3211" xr:uid="{CAE3DE49-B481-41BF-B2D4-B1F45EA52052}"/>
    <cellStyle name="Normal 3 2 2 2 4 3 2 2" xfId="5635" xr:uid="{19B79CE3-F446-4F04-9D36-7D4B668F3041}"/>
    <cellStyle name="Normal 3 2 2 2 4 3 2 2 2" xfId="10203" xr:uid="{91A1C07A-D3B1-4D90-B8DF-77E2686E0A07}"/>
    <cellStyle name="Normal 3 2 2 2 4 3 2 3" xfId="7911" xr:uid="{C2D841BC-FBFA-482A-B655-9F6D90FF62A0}"/>
    <cellStyle name="Normal 3 2 2 2 4 3 3" xfId="4626" xr:uid="{6DE37857-5C7D-4951-B40C-25E9267379CE}"/>
    <cellStyle name="Normal 3 2 2 2 4 3 3 2" xfId="9194" xr:uid="{FCCACCD0-57B5-4E23-8999-9E96B12740A6}"/>
    <cellStyle name="Normal 3 2 2 2 4 3 4" xfId="6902" xr:uid="{6F503B27-1FD1-47F4-A99A-31CEB7C87F04}"/>
    <cellStyle name="Normal 3 2 2 2 4 4" xfId="2780" xr:uid="{29ADD177-B090-4C8A-9F06-349AC0E0F223}"/>
    <cellStyle name="Normal 3 2 2 2 4 4 2" xfId="5205" xr:uid="{5CCDCA06-6E81-439E-AEA4-7AB028D4414C}"/>
    <cellStyle name="Normal 3 2 2 2 4 4 2 2" xfId="9773" xr:uid="{E54A46EC-B989-4A20-B250-095E5C59B196}"/>
    <cellStyle name="Normal 3 2 2 2 4 4 3" xfId="7481" xr:uid="{A926E845-F27C-4248-A609-3F8B67BB6EEA}"/>
    <cellStyle name="Normal 3 2 2 2 4 5" xfId="4195" xr:uid="{A2F4F778-7E22-434B-B3C0-5C02BBDAE814}"/>
    <cellStyle name="Normal 3 2 2 2 4 5 2" xfId="8764" xr:uid="{DD80D3CF-329A-4807-8A5A-59C99F3BF729}"/>
    <cellStyle name="Normal 3 2 2 2 4 6" xfId="6473" xr:uid="{C8F12CDC-968A-444D-B289-FC3FD9BE3EFD}"/>
    <cellStyle name="Normal 3 2 2 2 4 7" xfId="1553" xr:uid="{C81022FE-BF16-4F9D-B865-5B773C4E837F}"/>
    <cellStyle name="Normal 3 2 2 2 5" xfId="1807" xr:uid="{A89FCFE8-182E-4CC6-B3D7-DE852DAA935F}"/>
    <cellStyle name="Normal 3 2 2 2 5 2" xfId="2354" xr:uid="{81C1C7AD-620A-4AB1-B477-214110210C8B}"/>
    <cellStyle name="Normal 3 2 2 2 5 2 2" xfId="3365" xr:uid="{211E0FB5-D361-4FDA-BA0B-D6D0C92AE551}"/>
    <cellStyle name="Normal 3 2 2 2 5 2 2 2" xfId="5789" xr:uid="{A8E1F6D6-E1C7-45AC-9D37-303795741B47}"/>
    <cellStyle name="Normal 3 2 2 2 5 2 2 2 2" xfId="10357" xr:uid="{49696A17-85C4-47F5-BCA8-2F768D423B65}"/>
    <cellStyle name="Normal 3 2 2 2 5 2 2 3" xfId="8065" xr:uid="{73A2ED99-F09B-4D9B-917B-43D50D7AD501}"/>
    <cellStyle name="Normal 3 2 2 2 5 2 3" xfId="4780" xr:uid="{798F0B43-4E97-4488-8FE8-29D1B3F8A659}"/>
    <cellStyle name="Normal 3 2 2 2 5 2 3 2" xfId="9348" xr:uid="{AA704FFA-603B-4364-B1F4-9E2C3B6B447E}"/>
    <cellStyle name="Normal 3 2 2 2 5 2 4" xfId="7056" xr:uid="{574C9FD1-C1B9-4D9D-B791-CD47A5AB3B51}"/>
    <cellStyle name="Normal 3 2 2 2 5 3" xfId="2937" xr:uid="{45103581-40DA-444E-866D-F8CADAD80326}"/>
    <cellStyle name="Normal 3 2 2 2 5 3 2" xfId="5361" xr:uid="{89138246-E1BE-47AC-B876-9BFDB61DB83B}"/>
    <cellStyle name="Normal 3 2 2 2 5 3 2 2" xfId="9929" xr:uid="{F64075A0-58D9-4EC7-A889-9532A50C6868}"/>
    <cellStyle name="Normal 3 2 2 2 5 3 3" xfId="7637" xr:uid="{C8FE0ECF-A6E8-4599-AC9F-B5D6E024DFAC}"/>
    <cellStyle name="Normal 3 2 2 2 5 4" xfId="4352" xr:uid="{7FA514B2-9BA9-4FC0-969A-6D9C4E0B6317}"/>
    <cellStyle name="Normal 3 2 2 2 5 4 2" xfId="8920" xr:uid="{69EE2835-E2DF-4EB8-8B84-143692BBBA03}"/>
    <cellStyle name="Normal 3 2 2 2 5 5" xfId="6628" xr:uid="{AA258A92-F26D-448C-8D7C-17963B1134B8}"/>
    <cellStyle name="Normal 3 2 2 2 6" xfId="2165" xr:uid="{E35A16A2-57D1-47F6-A1BC-27D2A8FF0FF1}"/>
    <cellStyle name="Normal 3 2 2 2 6 2" xfId="3178" xr:uid="{B75677A1-2733-4994-8F33-136BFC26524A}"/>
    <cellStyle name="Normal 3 2 2 2 6 2 2" xfId="5602" xr:uid="{E6A12828-47D3-46E0-A9A3-28E85B876171}"/>
    <cellStyle name="Normal 3 2 2 2 6 2 2 2" xfId="10170" xr:uid="{31900773-5BB7-4855-8F8D-A46440D9E421}"/>
    <cellStyle name="Normal 3 2 2 2 6 2 3" xfId="7878" xr:uid="{9989BB0D-3F4F-4C3C-983D-D24D55DE543A}"/>
    <cellStyle name="Normal 3 2 2 2 6 3" xfId="4593" xr:uid="{5E5929C5-4770-46C8-A913-C842283D917B}"/>
    <cellStyle name="Normal 3 2 2 2 6 3 2" xfId="9161" xr:uid="{01EE40B1-79C6-4C05-8C55-321F2EF25D79}"/>
    <cellStyle name="Normal 3 2 2 2 6 4" xfId="6869" xr:uid="{714D5FCB-A9BC-445D-9DCB-F7B2CC529245}"/>
    <cellStyle name="Normal 3 2 2 2 7" xfId="2747" xr:uid="{09287447-E097-4475-AAC3-F3A2977C34B3}"/>
    <cellStyle name="Normal 3 2 2 2 7 2" xfId="5172" xr:uid="{3D250267-86D2-4E14-8E63-DB33186510F5}"/>
    <cellStyle name="Normal 3 2 2 2 7 2 2" xfId="9740" xr:uid="{7C12702E-2C62-400B-932D-B7A2E3BF86E3}"/>
    <cellStyle name="Normal 3 2 2 2 7 3" xfId="7448" xr:uid="{72D713DE-4A5A-4702-9B5F-9269803755C4}"/>
    <cellStyle name="Normal 3 2 2 2 8" xfId="4162" xr:uid="{2737FD7F-0CB7-45E1-A92E-C5E6A0B9A2CB}"/>
    <cellStyle name="Normal 3 2 2 2 8 2" xfId="8731" xr:uid="{8C9CD2EE-45A8-4F44-84CD-2ABB9CB95075}"/>
    <cellStyle name="Normal 3 2 2 2 9" xfId="6440" xr:uid="{D1E77818-50DC-4CEE-A62F-7044350F7AF0}"/>
    <cellStyle name="Normal 3 2 2 3" xfId="644" xr:uid="{00000000-0005-0000-0000-0000A2030000}"/>
    <cellStyle name="Normal 3 2 2 3 2" xfId="645" xr:uid="{00000000-0005-0000-0000-0000A3030000}"/>
    <cellStyle name="Normal 3 2 2 3 2 2" xfId="1842" xr:uid="{54B445BD-4056-4572-A5A4-B16E95E38E22}"/>
    <cellStyle name="Normal 3 2 2 3 2 2 2" xfId="2389" xr:uid="{008195D3-6055-4312-8B26-3A2081976D14}"/>
    <cellStyle name="Normal 3 2 2 3 2 2 2 2" xfId="3400" xr:uid="{AF4D0BC4-769F-49C0-A021-946600F14802}"/>
    <cellStyle name="Normal 3 2 2 3 2 2 2 2 2" xfId="5824" xr:uid="{DD150082-460F-4474-B3C2-1144A3898266}"/>
    <cellStyle name="Normal 3 2 2 3 2 2 2 2 2 2" xfId="10392" xr:uid="{FB7471C7-34C6-4159-8D16-14E5B362087F}"/>
    <cellStyle name="Normal 3 2 2 3 2 2 2 2 3" xfId="8100" xr:uid="{94E9871E-6A89-4D4F-89D6-2672C1E389E0}"/>
    <cellStyle name="Normal 3 2 2 3 2 2 2 3" xfId="4815" xr:uid="{84DEAEBB-6461-4325-9E83-DE109269BA1A}"/>
    <cellStyle name="Normal 3 2 2 3 2 2 2 3 2" xfId="9383" xr:uid="{3A6FD133-A5F6-45BC-9230-A439D8B8A73C}"/>
    <cellStyle name="Normal 3 2 2 3 2 2 2 4" xfId="7091" xr:uid="{34DF872D-C296-4B23-B146-A42E8A7F5429}"/>
    <cellStyle name="Normal 3 2 2 3 2 2 3" xfId="2972" xr:uid="{ECBA8D4E-EE55-45DE-AE7B-62CF977165DF}"/>
    <cellStyle name="Normal 3 2 2 3 2 2 3 2" xfId="5396" xr:uid="{3F46C8F7-F0FA-4BB8-9D58-F0AB9AB80474}"/>
    <cellStyle name="Normal 3 2 2 3 2 2 3 2 2" xfId="9964" xr:uid="{B1918316-FE28-4247-8DA9-B1BEEAB832E6}"/>
    <cellStyle name="Normal 3 2 2 3 2 2 3 3" xfId="7672" xr:uid="{A6E2D486-3D94-4AD1-880B-A70CD0FA6BEA}"/>
    <cellStyle name="Normal 3 2 2 3 2 2 4" xfId="4387" xr:uid="{1EC14927-AD47-470A-A357-6E77DFD24694}"/>
    <cellStyle name="Normal 3 2 2 3 2 2 4 2" xfId="8955" xr:uid="{84C0CA3E-D687-4D46-AD53-72C129616C8D}"/>
    <cellStyle name="Normal 3 2 2 3 2 2 5" xfId="6663" xr:uid="{05321627-60B2-4471-90B0-948C54150BAC}"/>
    <cellStyle name="Normal 3 2 2 3 2 3" xfId="2200" xr:uid="{F9E67D9A-331F-4943-86AD-FDF563349A01}"/>
    <cellStyle name="Normal 3 2 2 3 2 3 2" xfId="3213" xr:uid="{3D3C1959-E8CB-4A66-BCCA-18D82B47DB1C}"/>
    <cellStyle name="Normal 3 2 2 3 2 3 2 2" xfId="5637" xr:uid="{08AA912E-FBDE-4ACD-B453-265AF4C6B905}"/>
    <cellStyle name="Normal 3 2 2 3 2 3 2 2 2" xfId="10205" xr:uid="{4ADB1785-5CDE-43B7-8F42-0872B6E64438}"/>
    <cellStyle name="Normal 3 2 2 3 2 3 2 3" xfId="7913" xr:uid="{41273C06-A6F0-4E0D-9987-B1A51ADB9CE3}"/>
    <cellStyle name="Normal 3 2 2 3 2 3 3" xfId="4628" xr:uid="{FBD7AC48-3CB2-472C-8942-463C5CB7DCCB}"/>
    <cellStyle name="Normal 3 2 2 3 2 3 3 2" xfId="9196" xr:uid="{D2A420B7-3C96-4E83-B526-C1D062E7BD85}"/>
    <cellStyle name="Normal 3 2 2 3 2 3 4" xfId="6904" xr:uid="{05B30317-D668-49C5-8313-A07B5025B713}"/>
    <cellStyle name="Normal 3 2 2 3 2 4" xfId="2782" xr:uid="{2AE03962-B888-41A4-AF7F-592E9F026E54}"/>
    <cellStyle name="Normal 3 2 2 3 2 4 2" xfId="5207" xr:uid="{79692217-0236-4B8C-B569-BC9DE2F412BB}"/>
    <cellStyle name="Normal 3 2 2 3 2 4 2 2" xfId="9775" xr:uid="{7678D90F-DAB4-48CF-957D-68C42DDE6A11}"/>
    <cellStyle name="Normal 3 2 2 3 2 4 3" xfId="7483" xr:uid="{C0FB8F31-890B-40E5-85FF-A8C685920112}"/>
    <cellStyle name="Normal 3 2 2 3 2 5" xfId="4197" xr:uid="{2158D4EB-F584-4FB4-8B36-C8FD7E9B2C45}"/>
    <cellStyle name="Normal 3 2 2 3 2 5 2" xfId="8766" xr:uid="{CB07C61B-F5C4-4A1B-BBA1-CE9F61575ECC}"/>
    <cellStyle name="Normal 3 2 2 3 2 6" xfId="6475" xr:uid="{6CAC79A4-983E-4EBF-9079-B94E856FEAA1}"/>
    <cellStyle name="Normal 3 2 2 3 2 7" xfId="1555" xr:uid="{0AFFE7F0-D197-4D9D-80A9-CEE599E2CE23}"/>
    <cellStyle name="Normal 3 2 2 3 3" xfId="1841" xr:uid="{F81D97BE-EF6E-4AA4-A57D-E51AF8796006}"/>
    <cellStyle name="Normal 3 2 2 3 3 2" xfId="2388" xr:uid="{F1F9EB4B-2313-406B-9248-DBCD48B9B033}"/>
    <cellStyle name="Normal 3 2 2 3 3 2 2" xfId="3399" xr:uid="{BEDF3681-A95E-4350-BB98-D4EAB492669D}"/>
    <cellStyle name="Normal 3 2 2 3 3 2 2 2" xfId="5823" xr:uid="{2657EDC7-3065-4E0B-AFF0-3792A2705DD4}"/>
    <cellStyle name="Normal 3 2 2 3 3 2 2 2 2" xfId="10391" xr:uid="{782F583C-CCE7-4A4B-A590-ECC6851098E0}"/>
    <cellStyle name="Normal 3 2 2 3 3 2 2 3" xfId="8099" xr:uid="{AC9C7518-D27C-4E4C-AE30-8A1A0C6909A2}"/>
    <cellStyle name="Normal 3 2 2 3 3 2 3" xfId="4814" xr:uid="{E1456EB8-A063-4156-8759-ED075D76DE87}"/>
    <cellStyle name="Normal 3 2 2 3 3 2 3 2" xfId="9382" xr:uid="{4CF74DCA-914D-408C-BC89-48B2A774EB96}"/>
    <cellStyle name="Normal 3 2 2 3 3 2 4" xfId="7090" xr:uid="{A059D9D8-E6F1-4842-ADD6-F6FDD02B5E88}"/>
    <cellStyle name="Normal 3 2 2 3 3 3" xfId="2971" xr:uid="{05727CD7-9B9E-4848-B07B-8142B2CF7EF7}"/>
    <cellStyle name="Normal 3 2 2 3 3 3 2" xfId="5395" xr:uid="{3CF8BF4C-9BB4-418A-8AA4-24107DFADFFD}"/>
    <cellStyle name="Normal 3 2 2 3 3 3 2 2" xfId="9963" xr:uid="{6F14B4E9-0FAE-4496-B0F2-623E643A53BA}"/>
    <cellStyle name="Normal 3 2 2 3 3 3 3" xfId="7671" xr:uid="{B6FD218A-6F43-4F35-89B4-03C4583D65B9}"/>
    <cellStyle name="Normal 3 2 2 3 3 4" xfId="4386" xr:uid="{138975F2-7CE8-4922-931B-A672360170C3}"/>
    <cellStyle name="Normal 3 2 2 3 3 4 2" xfId="8954" xr:uid="{D4490768-4999-495F-9B46-4319B9BE98CA}"/>
    <cellStyle name="Normal 3 2 2 3 3 5" xfId="6662" xr:uid="{EE41CC96-695D-4947-A5F3-DC4F948F3B87}"/>
    <cellStyle name="Normal 3 2 2 3 4" xfId="2199" xr:uid="{26682890-0CD5-4200-B0F0-CA84DDF20D80}"/>
    <cellStyle name="Normal 3 2 2 3 4 2" xfId="3212" xr:uid="{8FFDBA91-6F96-4CAE-B023-3331F6B9ED5C}"/>
    <cellStyle name="Normal 3 2 2 3 4 2 2" xfId="5636" xr:uid="{0724B610-1FE6-4C25-9148-D3DB99A00C2E}"/>
    <cellStyle name="Normal 3 2 2 3 4 2 2 2" xfId="10204" xr:uid="{5B42C0C3-8E37-46B3-8ECF-3FCD01332897}"/>
    <cellStyle name="Normal 3 2 2 3 4 2 3" xfId="7912" xr:uid="{EA1F34A1-3E90-417B-964F-11B5DD6552E4}"/>
    <cellStyle name="Normal 3 2 2 3 4 3" xfId="4627" xr:uid="{98581743-1DE8-4AB8-928A-4EEEEC61EADF}"/>
    <cellStyle name="Normal 3 2 2 3 4 3 2" xfId="9195" xr:uid="{8AFE2A70-76C9-444F-B36C-85FFAD1A2613}"/>
    <cellStyle name="Normal 3 2 2 3 4 4" xfId="6903" xr:uid="{054DB323-380C-41ED-8FA8-41AD0E2FE361}"/>
    <cellStyle name="Normal 3 2 2 3 5" xfId="2781" xr:uid="{3044A012-CA21-4CC9-B6D3-22C89E3EBF88}"/>
    <cellStyle name="Normal 3 2 2 3 5 2" xfId="5206" xr:uid="{191582B9-AEE8-4EE7-AD9D-4BCDED0408CF}"/>
    <cellStyle name="Normal 3 2 2 3 5 2 2" xfId="9774" xr:uid="{1DE536BC-664B-479B-B42F-5352998D9303}"/>
    <cellStyle name="Normal 3 2 2 3 5 3" xfId="7482" xr:uid="{9189B516-657D-4EEA-A73B-0833C1AFF866}"/>
    <cellStyle name="Normal 3 2 2 3 6" xfId="4196" xr:uid="{6A523989-AC97-43E4-9ED5-5722D5FEBBF8}"/>
    <cellStyle name="Normal 3 2 2 3 6 2" xfId="8765" xr:uid="{ABBF26E4-B652-42F9-A4CF-0E1E98BD6B89}"/>
    <cellStyle name="Normal 3 2 2 3 7" xfId="6474" xr:uid="{21032D16-D8B2-421E-9B07-02D3E978B186}"/>
    <cellStyle name="Normal 3 2 2 3 8" xfId="1554" xr:uid="{A81DD208-AA2D-48C7-8A78-B75A8845152C}"/>
    <cellStyle name="Normal 3 2 2 4" xfId="646" xr:uid="{00000000-0005-0000-0000-0000A4030000}"/>
    <cellStyle name="Normal 3 2 2 4 2" xfId="1843" xr:uid="{0CD1ADDC-BE29-4E6C-B4C2-F546EEC49B25}"/>
    <cellStyle name="Normal 3 2 2 4 2 2" xfId="2390" xr:uid="{2204BF2A-F91D-4E97-A023-34E5C26EA0FC}"/>
    <cellStyle name="Normal 3 2 2 4 2 2 2" xfId="3401" xr:uid="{3C334C61-CCCB-4015-9DCA-F6CF5314966C}"/>
    <cellStyle name="Normal 3 2 2 4 2 2 2 2" xfId="5825" xr:uid="{E1495035-085D-4DC1-8DFC-CCA90BF5156E}"/>
    <cellStyle name="Normal 3 2 2 4 2 2 2 2 2" xfId="10393" xr:uid="{156BBB08-2B86-4923-92B6-79ED1E321BF1}"/>
    <cellStyle name="Normal 3 2 2 4 2 2 2 3" xfId="8101" xr:uid="{498B3A28-FBD8-4FCB-B118-A5F97A3612C9}"/>
    <cellStyle name="Normal 3 2 2 4 2 2 3" xfId="4816" xr:uid="{289216DC-471A-48F7-85BF-8C73A09E86F8}"/>
    <cellStyle name="Normal 3 2 2 4 2 2 3 2" xfId="9384" xr:uid="{0F44B9D7-EEBF-42E9-9327-528AD4C5BE59}"/>
    <cellStyle name="Normal 3 2 2 4 2 2 4" xfId="7092" xr:uid="{27F68CAB-EFAE-4490-80F3-A159AE40B616}"/>
    <cellStyle name="Normal 3 2 2 4 2 3" xfId="2973" xr:uid="{0CBEAC64-217C-4AB0-B6AD-793C1D90F6BA}"/>
    <cellStyle name="Normal 3 2 2 4 2 3 2" xfId="5397" xr:uid="{3357CDED-F9EF-4F3B-972D-3C481F1F978F}"/>
    <cellStyle name="Normal 3 2 2 4 2 3 2 2" xfId="9965" xr:uid="{247AA7FB-AD49-49ED-805E-F119CAC7C550}"/>
    <cellStyle name="Normal 3 2 2 4 2 3 3" xfId="7673" xr:uid="{D80E4127-E961-4022-8CF2-408B17447F04}"/>
    <cellStyle name="Normal 3 2 2 4 2 4" xfId="4388" xr:uid="{1FA9B425-4AF7-4091-B915-A2FA30C64960}"/>
    <cellStyle name="Normal 3 2 2 4 2 4 2" xfId="8956" xr:uid="{A3E51084-5D9D-4705-B087-5C6F73DD0898}"/>
    <cellStyle name="Normal 3 2 2 4 2 5" xfId="6664" xr:uid="{9856D3BC-94B5-4430-8834-B9653EBA528A}"/>
    <cellStyle name="Normal 3 2 2 4 3" xfId="2201" xr:uid="{4E0480A9-3C7C-4C53-B6AB-8F5242983E8C}"/>
    <cellStyle name="Normal 3 2 2 4 3 2" xfId="3214" xr:uid="{C5F0B2CC-ABEF-4823-98EB-67A57CB724AE}"/>
    <cellStyle name="Normal 3 2 2 4 3 2 2" xfId="5638" xr:uid="{CE949806-3CA0-4D43-A667-45801ABD4240}"/>
    <cellStyle name="Normal 3 2 2 4 3 2 2 2" xfId="10206" xr:uid="{EBBEA250-A882-4272-98D0-0FC0A1C710FC}"/>
    <cellStyle name="Normal 3 2 2 4 3 2 3" xfId="7914" xr:uid="{75A7F25B-32AE-4F91-A9F8-AFF2AA58E2BF}"/>
    <cellStyle name="Normal 3 2 2 4 3 3" xfId="4629" xr:uid="{16734396-706E-4E3E-9F22-C377CEBFBFA2}"/>
    <cellStyle name="Normal 3 2 2 4 3 3 2" xfId="9197" xr:uid="{7C7E9FA7-C6FD-4167-AD58-88235374CD5A}"/>
    <cellStyle name="Normal 3 2 2 4 3 4" xfId="6905" xr:uid="{7A150219-6AE7-4648-A7E1-877539136790}"/>
    <cellStyle name="Normal 3 2 2 4 4" xfId="2783" xr:uid="{BE465A32-E789-4E06-A384-BF52720E8DD0}"/>
    <cellStyle name="Normal 3 2 2 4 4 2" xfId="5208" xr:uid="{4B61EF49-B8B4-4497-A691-DD46E87F4FF6}"/>
    <cellStyle name="Normal 3 2 2 4 4 2 2" xfId="9776" xr:uid="{3A03C836-72DE-4B88-B856-C2C9FD79D888}"/>
    <cellStyle name="Normal 3 2 2 4 4 3" xfId="7484" xr:uid="{CCA13744-C441-4CED-A5E9-50CA58A187A6}"/>
    <cellStyle name="Normal 3 2 2 4 5" xfId="4198" xr:uid="{60C97620-D3AE-4F41-B698-FA1315892458}"/>
    <cellStyle name="Normal 3 2 2 4 5 2" xfId="8767" xr:uid="{70312565-C11B-4EC6-B5D4-FB8DD4A65E2D}"/>
    <cellStyle name="Normal 3 2 2 4 6" xfId="6476" xr:uid="{0442D818-35AE-4910-B595-1A30A429615A}"/>
    <cellStyle name="Normal 3 2 2 4 7" xfId="1556" xr:uid="{767ACA7E-DF30-4BEE-9CB2-80746BF92E02}"/>
    <cellStyle name="Normal 3 2 2 5" xfId="1806" xr:uid="{05F0ED3F-1C28-4615-A9A9-24ECD8615561}"/>
    <cellStyle name="Normal 3 2 2 5 2" xfId="2353" xr:uid="{ACA6B9E3-B37F-4010-B464-E67F1B76F038}"/>
    <cellStyle name="Normal 3 2 2 5 2 2" xfId="3364" xr:uid="{4B6E0CD0-E9B8-4CB2-9B2C-5A51E0B0BC8D}"/>
    <cellStyle name="Normal 3 2 2 5 2 2 2" xfId="5788" xr:uid="{B5CEC249-33E9-4836-B765-DC5682934FF8}"/>
    <cellStyle name="Normal 3 2 2 5 2 2 2 2" xfId="10356" xr:uid="{13583725-4443-40AF-AE71-5E0BA203C992}"/>
    <cellStyle name="Normal 3 2 2 5 2 2 3" xfId="8064" xr:uid="{6FD5CA79-56F3-4B0F-9AC5-C2F7AEA9029D}"/>
    <cellStyle name="Normal 3 2 2 5 2 3" xfId="4779" xr:uid="{F18CF8ED-7C93-4FFE-B4E1-F6992DDF3BC1}"/>
    <cellStyle name="Normal 3 2 2 5 2 3 2" xfId="9347" xr:uid="{396FA8A3-848A-4938-81EB-8D414103E16F}"/>
    <cellStyle name="Normal 3 2 2 5 2 4" xfId="7055" xr:uid="{80686837-4836-4543-99C3-A79A15EE4959}"/>
    <cellStyle name="Normal 3 2 2 5 3" xfId="2936" xr:uid="{2B2D6EB1-4AB2-4C01-BC18-7235EFAD0114}"/>
    <cellStyle name="Normal 3 2 2 5 3 2" xfId="5360" xr:uid="{5470601A-B086-4D7F-8244-2CB1AC3E1D2C}"/>
    <cellStyle name="Normal 3 2 2 5 3 2 2" xfId="9928" xr:uid="{6129D63C-2BFC-4F4E-B57C-2DC18C724A75}"/>
    <cellStyle name="Normal 3 2 2 5 3 3" xfId="7636" xr:uid="{38C7446D-36CD-43E9-92B7-29648BB18894}"/>
    <cellStyle name="Normal 3 2 2 5 4" xfId="4351" xr:uid="{7FF0463A-D420-42E7-A6D0-7DE7179347D1}"/>
    <cellStyle name="Normal 3 2 2 5 4 2" xfId="8919" xr:uid="{86C9992C-DD38-414E-9861-3AA8E9162187}"/>
    <cellStyle name="Normal 3 2 2 5 5" xfId="6627" xr:uid="{6EFADA87-B2F6-4FC4-8B94-F70340C1E445}"/>
    <cellStyle name="Normal 3 2 2 6" xfId="2164" xr:uid="{652D42FD-02CE-442E-A0ED-A231D414C3E0}"/>
    <cellStyle name="Normal 3 2 2 6 2" xfId="3177" xr:uid="{AADA7CBC-B8CB-470C-B3B9-C22E5589AA59}"/>
    <cellStyle name="Normal 3 2 2 6 2 2" xfId="5601" xr:uid="{EC2E8B34-EE03-4187-906C-0B681E7234BC}"/>
    <cellStyle name="Normal 3 2 2 6 2 2 2" xfId="10169" xr:uid="{B6F4B730-5FFB-4E23-907D-A0C39196B5B8}"/>
    <cellStyle name="Normal 3 2 2 6 2 3" xfId="7877" xr:uid="{BB5CC7FD-15A1-4476-A464-EE91CD1A812B}"/>
    <cellStyle name="Normal 3 2 2 6 3" xfId="4592" xr:uid="{8BDC6484-2FCD-496E-ABCD-A3C49DEDA3F6}"/>
    <cellStyle name="Normal 3 2 2 6 3 2" xfId="9160" xr:uid="{5F31D574-568A-4CF2-9EF8-C5765970EC9E}"/>
    <cellStyle name="Normal 3 2 2 6 4" xfId="6868" xr:uid="{9D00BD78-3B55-40FF-9883-A4B81E0D0588}"/>
    <cellStyle name="Normal 3 2 2 7" xfId="2746" xr:uid="{86679FCC-7784-46A0-B40E-33C202609A77}"/>
    <cellStyle name="Normal 3 2 2 7 2" xfId="5171" xr:uid="{7CE35DF4-8F8C-47A6-BD7E-9CE1134A67BA}"/>
    <cellStyle name="Normal 3 2 2 7 2 2" xfId="9739" xr:uid="{5A788377-194C-47E4-91A2-B1AC8A7A576B}"/>
    <cellStyle name="Normal 3 2 2 7 3" xfId="7447" xr:uid="{25675B02-5C1A-4783-8394-927F72E04D05}"/>
    <cellStyle name="Normal 3 2 2 8" xfId="4161" xr:uid="{13DBEF1A-1F1F-4947-87FA-A7C38E8FA05A}"/>
    <cellStyle name="Normal 3 2 2 8 2" xfId="8730" xr:uid="{9739071A-613E-4FDD-A0A6-241B52257295}"/>
    <cellStyle name="Normal 3 2 2 9" xfId="6439" xr:uid="{741503F7-1824-427D-88FD-A7949C9EAC12}"/>
    <cellStyle name="Normal 3 2 3" xfId="647" xr:uid="{00000000-0005-0000-0000-0000A5030000}"/>
    <cellStyle name="Normal 3 2 3 2" xfId="648" xr:uid="{00000000-0005-0000-0000-0000A6030000}"/>
    <cellStyle name="Normal 3 2 3 2 2" xfId="1845" xr:uid="{7ADEB3A5-794B-4DAB-B24E-B585F16D8D2D}"/>
    <cellStyle name="Normal 3 2 3 2 2 2" xfId="2392" xr:uid="{81731ABD-2B11-4401-A7FD-05CD9F9A19C3}"/>
    <cellStyle name="Normal 3 2 3 2 2 2 2" xfId="3403" xr:uid="{142B66C5-A8FC-45DE-A29C-5F28F0386342}"/>
    <cellStyle name="Normal 3 2 3 2 2 2 2 2" xfId="5827" xr:uid="{013377ED-EBBC-4130-86C0-0D40CCC5330D}"/>
    <cellStyle name="Normal 3 2 3 2 2 2 2 2 2" xfId="10395" xr:uid="{9F6080A1-70A1-4247-9D3E-631DE901A940}"/>
    <cellStyle name="Normal 3 2 3 2 2 2 2 3" xfId="8103" xr:uid="{15206E2B-0116-4A4B-A435-5322A3CC1E52}"/>
    <cellStyle name="Normal 3 2 3 2 2 2 3" xfId="4818" xr:uid="{E2B24E0E-41C4-4BA6-BDC1-32881F4407B0}"/>
    <cellStyle name="Normal 3 2 3 2 2 2 3 2" xfId="9386" xr:uid="{B2B34A8A-FF3A-460A-8BB5-AC9633A700D6}"/>
    <cellStyle name="Normal 3 2 3 2 2 2 4" xfId="7094" xr:uid="{D9126975-5E88-494B-BD00-7BB363E3F561}"/>
    <cellStyle name="Normal 3 2 3 2 2 3" xfId="2975" xr:uid="{8EF21289-7B2A-4EC0-83A3-60DA69D3C9A5}"/>
    <cellStyle name="Normal 3 2 3 2 2 3 2" xfId="5399" xr:uid="{D6E40C7D-7E6C-49D2-948F-9920BE683958}"/>
    <cellStyle name="Normal 3 2 3 2 2 3 2 2" xfId="9967" xr:uid="{79F714CD-961E-44BF-8F8E-6C05EB17503C}"/>
    <cellStyle name="Normal 3 2 3 2 2 3 3" xfId="7675" xr:uid="{4E2AE6A6-6177-4AFC-AC78-0E28BB373E12}"/>
    <cellStyle name="Normal 3 2 3 2 2 4" xfId="4390" xr:uid="{8221AE6C-750A-4F8C-AC52-AD818F6C01BD}"/>
    <cellStyle name="Normal 3 2 3 2 2 4 2" xfId="8958" xr:uid="{9782D529-1064-485C-805A-E80410162C3B}"/>
    <cellStyle name="Normal 3 2 3 2 2 5" xfId="6666" xr:uid="{2201DC70-18D1-466B-A7BF-E8574E4E48ED}"/>
    <cellStyle name="Normal 3 2 3 2 3" xfId="2203" xr:uid="{3C331841-6911-4151-B9A9-55E8E77BAAC3}"/>
    <cellStyle name="Normal 3 2 3 2 3 2" xfId="3216" xr:uid="{82BBF49D-21EC-41E2-910D-A578A50CDDD3}"/>
    <cellStyle name="Normal 3 2 3 2 3 2 2" xfId="5640" xr:uid="{C7670E29-F924-4F09-B891-949F42E79DFC}"/>
    <cellStyle name="Normal 3 2 3 2 3 2 2 2" xfId="10208" xr:uid="{FB064BC6-83F3-4AFD-A70E-8D7E40419370}"/>
    <cellStyle name="Normal 3 2 3 2 3 2 3" xfId="7916" xr:uid="{342C6C58-C221-4A58-AE18-4DCA81357117}"/>
    <cellStyle name="Normal 3 2 3 2 3 3" xfId="4631" xr:uid="{919A7535-2F74-4C98-9F6B-C99B8C8D4D06}"/>
    <cellStyle name="Normal 3 2 3 2 3 3 2" xfId="9199" xr:uid="{316803F2-A289-4330-84E2-60562E26A37C}"/>
    <cellStyle name="Normal 3 2 3 2 3 4" xfId="6907" xr:uid="{4DE01BB8-FE69-4538-87F0-6B363BDEA8B4}"/>
    <cellStyle name="Normal 3 2 3 2 4" xfId="2785" xr:uid="{8E774F2F-ACB7-4ED1-BD23-215E81C8F007}"/>
    <cellStyle name="Normal 3 2 3 2 4 2" xfId="5210" xr:uid="{2D743E87-E171-4ACC-A975-422AA9878831}"/>
    <cellStyle name="Normal 3 2 3 2 4 2 2" xfId="9778" xr:uid="{E3781DE7-2026-42A3-B75F-5C7F7FF08F54}"/>
    <cellStyle name="Normal 3 2 3 2 4 3" xfId="7486" xr:uid="{0D5E06FD-F8EE-4F88-B737-2E0A12F39719}"/>
    <cellStyle name="Normal 3 2 3 2 5" xfId="4200" xr:uid="{5D304102-ACA4-4007-A268-BFE5BA8F13FD}"/>
    <cellStyle name="Normal 3 2 3 2 5 2" xfId="8769" xr:uid="{DB353124-A192-4A60-B0EB-6F4BB38C7F15}"/>
    <cellStyle name="Normal 3 2 3 2 6" xfId="6478" xr:uid="{E93D5221-1F95-4238-8038-1F7EC3F93908}"/>
    <cellStyle name="Normal 3 2 3 2 7" xfId="1558" xr:uid="{F93C31A4-51CF-4FD3-AFA5-7CC203CF9BB6}"/>
    <cellStyle name="Normal 3 2 3 3" xfId="1844" xr:uid="{A66CC904-3225-4984-866B-3DA05EFEDE1B}"/>
    <cellStyle name="Normal 3 2 3 3 2" xfId="2391" xr:uid="{27A98E5C-0E7B-43A1-AED3-FF00AB9999B0}"/>
    <cellStyle name="Normal 3 2 3 3 2 2" xfId="3402" xr:uid="{0239E8F3-C8CA-4B73-820A-69DEB9CBDCF3}"/>
    <cellStyle name="Normal 3 2 3 3 2 2 2" xfId="5826" xr:uid="{E847837D-90F6-477C-A25A-27F7898FF14D}"/>
    <cellStyle name="Normal 3 2 3 3 2 2 2 2" xfId="10394" xr:uid="{F3AEC099-8407-4F22-BEB5-8FE8102EE901}"/>
    <cellStyle name="Normal 3 2 3 3 2 2 3" xfId="8102" xr:uid="{F31F13F0-2C63-4A65-9F77-4E4DEE536FBD}"/>
    <cellStyle name="Normal 3 2 3 3 2 3" xfId="4817" xr:uid="{4F601BF3-D499-4BDE-A7B1-ECBF350A7AC4}"/>
    <cellStyle name="Normal 3 2 3 3 2 3 2" xfId="9385" xr:uid="{0E578419-46EE-4CDC-B821-49C82E5359FC}"/>
    <cellStyle name="Normal 3 2 3 3 2 4" xfId="7093" xr:uid="{21849728-B93A-4088-8BEB-24949A1A527B}"/>
    <cellStyle name="Normal 3 2 3 3 3" xfId="2974" xr:uid="{CCAA766A-5900-4C46-B466-A8CE5D0C31E5}"/>
    <cellStyle name="Normal 3 2 3 3 3 2" xfId="5398" xr:uid="{F0BF018A-4B8F-4017-A023-4CCAA2E2A4D6}"/>
    <cellStyle name="Normal 3 2 3 3 3 2 2" xfId="9966" xr:uid="{FBAF7D52-D1BF-43D9-9ABB-A5A43628BCC0}"/>
    <cellStyle name="Normal 3 2 3 3 3 3" xfId="7674" xr:uid="{3244FD7D-C38D-40E9-AF31-151A1A0371BA}"/>
    <cellStyle name="Normal 3 2 3 3 4" xfId="4389" xr:uid="{AB2C4213-C7ED-4CA0-9C89-0384A0677204}"/>
    <cellStyle name="Normal 3 2 3 3 4 2" xfId="8957" xr:uid="{45AD7E3D-CD96-44FD-923A-C498B65FD49D}"/>
    <cellStyle name="Normal 3 2 3 3 5" xfId="6665" xr:uid="{FA079088-DA2F-4CDA-A9CC-ED7B554715B4}"/>
    <cellStyle name="Normal 3 2 3 4" xfId="2202" xr:uid="{6FB6F47A-495F-48B1-A3B3-4B2196E40735}"/>
    <cellStyle name="Normal 3 2 3 4 2" xfId="3215" xr:uid="{C0920EAB-AD08-44F4-91AA-48B979D81FF9}"/>
    <cellStyle name="Normal 3 2 3 4 2 2" xfId="5639" xr:uid="{1152A9E1-503D-4184-88A9-363AEC3A4F51}"/>
    <cellStyle name="Normal 3 2 3 4 2 2 2" xfId="10207" xr:uid="{4C9C76C6-C692-4997-A37F-E3D7281F2C23}"/>
    <cellStyle name="Normal 3 2 3 4 2 3" xfId="7915" xr:uid="{C615FFDB-5854-4918-A82B-9DAE07381AF0}"/>
    <cellStyle name="Normal 3 2 3 4 3" xfId="4630" xr:uid="{C42210BD-D2D8-45FD-8F32-62EA39C21BCD}"/>
    <cellStyle name="Normal 3 2 3 4 3 2" xfId="9198" xr:uid="{B41AC8EE-E637-47DA-839A-22F39875824C}"/>
    <cellStyle name="Normal 3 2 3 4 4" xfId="6906" xr:uid="{5C333ECE-62E8-4EDC-9218-6FB5D16E0110}"/>
    <cellStyle name="Normal 3 2 3 5" xfId="2784" xr:uid="{3782D62B-B8EA-4429-8068-55E6D09A12FF}"/>
    <cellStyle name="Normal 3 2 3 5 2" xfId="5209" xr:uid="{55995E03-9599-494B-AA3B-EA0DAE061276}"/>
    <cellStyle name="Normal 3 2 3 5 2 2" xfId="9777" xr:uid="{F527973D-DC4F-4D72-95D7-B7911C471104}"/>
    <cellStyle name="Normal 3 2 3 5 3" xfId="7485" xr:uid="{88C7014B-3513-41C6-B320-BDE2A94B85C4}"/>
    <cellStyle name="Normal 3 2 3 6" xfId="4199" xr:uid="{8528410D-AEB5-4DF0-B24B-B32A3D814597}"/>
    <cellStyle name="Normal 3 2 3 6 2" xfId="8768" xr:uid="{53121DEB-4393-43E6-B733-51FBABBC2849}"/>
    <cellStyle name="Normal 3 2 3 7" xfId="6477" xr:uid="{7CDC7495-D474-4D73-8485-C11DC2D8C16E}"/>
    <cellStyle name="Normal 3 2 3 8" xfId="1557" xr:uid="{7E11F533-3008-4226-B1E9-991A8467BED7}"/>
    <cellStyle name="Normal 3 2 4" xfId="649" xr:uid="{00000000-0005-0000-0000-0000A7030000}"/>
    <cellStyle name="Normal 3 2 4 2" xfId="1846" xr:uid="{B6C675CB-6756-4C19-87A2-01360F1653F7}"/>
    <cellStyle name="Normal 3 2 4 2 2" xfId="2393" xr:uid="{F05C54F0-FFB8-477E-837E-7FB3773C0392}"/>
    <cellStyle name="Normal 3 2 4 2 2 2" xfId="3404" xr:uid="{6CC58392-063F-46BF-BBD8-825C3D088CED}"/>
    <cellStyle name="Normal 3 2 4 2 2 2 2" xfId="5828" xr:uid="{57DA1B76-8848-4BB6-9AD6-18F02B8F4A49}"/>
    <cellStyle name="Normal 3 2 4 2 2 2 2 2" xfId="10396" xr:uid="{C1FB6A06-72FA-48D4-85AF-066CEE0BAC23}"/>
    <cellStyle name="Normal 3 2 4 2 2 2 3" xfId="8104" xr:uid="{7B0148E8-B8EE-4A0C-9C23-26CC751DBA5D}"/>
    <cellStyle name="Normal 3 2 4 2 2 3" xfId="4819" xr:uid="{B92A8E8F-1449-47F0-ACA5-ED8AD598039D}"/>
    <cellStyle name="Normal 3 2 4 2 2 3 2" xfId="9387" xr:uid="{9185BFAA-D05F-4DD8-8A92-65FAADF67563}"/>
    <cellStyle name="Normal 3 2 4 2 2 4" xfId="7095" xr:uid="{7A351C58-F106-4BA4-AF3F-354098BB8BB7}"/>
    <cellStyle name="Normal 3 2 4 2 3" xfId="2976" xr:uid="{DE77AE04-6CBF-4099-A645-699673BDBAFC}"/>
    <cellStyle name="Normal 3 2 4 2 3 2" xfId="5400" xr:uid="{24BE61A0-3233-4187-8A51-2695621975F3}"/>
    <cellStyle name="Normal 3 2 4 2 3 2 2" xfId="9968" xr:uid="{95E2E2AF-6DFD-4FC9-9CB8-214D88700D7A}"/>
    <cellStyle name="Normal 3 2 4 2 3 3" xfId="7676" xr:uid="{4E2E7A9C-451B-48F9-97BF-D3300DB4D151}"/>
    <cellStyle name="Normal 3 2 4 2 4" xfId="4391" xr:uid="{16BBBC88-5781-4868-B7EF-0E26BBA7FCB3}"/>
    <cellStyle name="Normal 3 2 4 2 4 2" xfId="8959" xr:uid="{E67C6ACA-6446-46C3-8709-C83E5A5E4296}"/>
    <cellStyle name="Normal 3 2 4 2 5" xfId="6667" xr:uid="{299F1832-E316-49A6-A339-C157EA31BE47}"/>
    <cellStyle name="Normal 3 2 4 3" xfId="2204" xr:uid="{94C19D5D-5781-453C-8E40-CDBC6621295B}"/>
    <cellStyle name="Normal 3 2 4 3 2" xfId="3217" xr:uid="{8B9908C3-9BB6-4F76-AD3A-2114C951971D}"/>
    <cellStyle name="Normal 3 2 4 3 2 2" xfId="5641" xr:uid="{7AF554FB-2B05-48BE-BE3B-02B14EBD3ABC}"/>
    <cellStyle name="Normal 3 2 4 3 2 2 2" xfId="10209" xr:uid="{5C14A914-16AF-44DC-BEB3-FD0DE04B7408}"/>
    <cellStyle name="Normal 3 2 4 3 2 3" xfId="7917" xr:uid="{7C9AB49F-AF5A-498E-B514-8D9BFA150C93}"/>
    <cellStyle name="Normal 3 2 4 3 3" xfId="4632" xr:uid="{D026FCB9-E52C-4AC7-B5D7-3F42929579F4}"/>
    <cellStyle name="Normal 3 2 4 3 3 2" xfId="9200" xr:uid="{86697D53-3B6C-4C84-823D-EB7DFA5A9988}"/>
    <cellStyle name="Normal 3 2 4 3 4" xfId="6908" xr:uid="{AD49CEA7-F2BE-40BE-B794-9D3D98C5BD3D}"/>
    <cellStyle name="Normal 3 2 4 4" xfId="2786" xr:uid="{C54D6584-F432-42D8-95C2-7C59CAAF03A1}"/>
    <cellStyle name="Normal 3 2 4 4 2" xfId="5211" xr:uid="{DB1B8C87-67A6-4DDE-B695-D40E621F301A}"/>
    <cellStyle name="Normal 3 2 4 4 2 2" xfId="9779" xr:uid="{46085678-C00C-4B71-A70A-F3EFEB1BBAFD}"/>
    <cellStyle name="Normal 3 2 4 4 3" xfId="7487" xr:uid="{52458E73-89FC-4589-9A9C-4A17E2CF5337}"/>
    <cellStyle name="Normal 3 2 4 5" xfId="4201" xr:uid="{27F57B18-1837-47CD-B5D3-2FDED3A961BB}"/>
    <cellStyle name="Normal 3 2 4 5 2" xfId="8770" xr:uid="{AC3A162C-66AE-469D-AC34-92DF7D9DA690}"/>
    <cellStyle name="Normal 3 2 4 6" xfId="6479" xr:uid="{74398A9C-81F8-43E6-ACA9-86901B59CCDD}"/>
    <cellStyle name="Normal 3 2 4 7" xfId="1559" xr:uid="{9D8DC430-59E6-496D-B642-6B1FE42232F3}"/>
    <cellStyle name="Normal 3 2 5" xfId="1805" xr:uid="{D20869E1-3097-4EE3-81EF-844D7D508A6F}"/>
    <cellStyle name="Normal 3 2 5 2" xfId="2352" xr:uid="{92F99571-3C35-4C8E-AD36-8BB2DA41533C}"/>
    <cellStyle name="Normal 3 2 5 2 2" xfId="3363" xr:uid="{DCE1618C-702F-41C8-8833-CF33E270E9C2}"/>
    <cellStyle name="Normal 3 2 5 2 2 2" xfId="5787" xr:uid="{6675D505-FB67-4CB1-98BF-7C842AD7CFE8}"/>
    <cellStyle name="Normal 3 2 5 2 2 2 2" xfId="10355" xr:uid="{54674A40-2908-4146-9AD0-74C9B4F7B09A}"/>
    <cellStyle name="Normal 3 2 5 2 2 3" xfId="8063" xr:uid="{8EF8D4C3-35F9-4E72-A73E-5FEA013317F3}"/>
    <cellStyle name="Normal 3 2 5 2 3" xfId="4778" xr:uid="{191A2260-05BF-4D9B-B928-BADB29642402}"/>
    <cellStyle name="Normal 3 2 5 2 3 2" xfId="9346" xr:uid="{E40838E4-F707-439B-869D-0889C0545C92}"/>
    <cellStyle name="Normal 3 2 5 2 4" xfId="7054" xr:uid="{DC1401F9-7662-49FD-96A1-D875E6948309}"/>
    <cellStyle name="Normal 3 2 5 3" xfId="2935" xr:uid="{E082201C-747A-488E-AC05-334D69864BFE}"/>
    <cellStyle name="Normal 3 2 5 3 2" xfId="5359" xr:uid="{BF25997F-1F96-45D2-9A39-71B62279F2F6}"/>
    <cellStyle name="Normal 3 2 5 3 2 2" xfId="9927" xr:uid="{A8937E75-EF32-4E85-B48E-342F4CF1ED36}"/>
    <cellStyle name="Normal 3 2 5 3 3" xfId="7635" xr:uid="{809B1117-0A66-4F4D-A110-40F4E2C45E9C}"/>
    <cellStyle name="Normal 3 2 5 4" xfId="4350" xr:uid="{A275ACCE-56FF-4281-A174-139A8D9815DA}"/>
    <cellStyle name="Normal 3 2 5 4 2" xfId="8918" xr:uid="{F3FC5396-1633-459D-9A8E-B942BB71D6E5}"/>
    <cellStyle name="Normal 3 2 5 5" xfId="6626" xr:uid="{4531B30C-8465-4D88-978E-B0812E51138D}"/>
    <cellStyle name="Normal 3 2 6" xfId="2163" xr:uid="{D5AB941F-F54E-41DF-AB22-68DB00D35692}"/>
    <cellStyle name="Normal 3 2 6 2" xfId="3176" xr:uid="{7249A25A-5A1E-4B8A-81E9-B6B4365FCEB0}"/>
    <cellStyle name="Normal 3 2 6 2 2" xfId="5600" xr:uid="{CD59B934-BD6D-435B-AB5A-CC1022723C24}"/>
    <cellStyle name="Normal 3 2 6 2 2 2" xfId="10168" xr:uid="{2DC3F9F4-0CB7-4040-8617-A5B609455D92}"/>
    <cellStyle name="Normal 3 2 6 2 3" xfId="7876" xr:uid="{0C492115-07D7-4ABA-B264-D804BEE69D64}"/>
    <cellStyle name="Normal 3 2 6 3" xfId="4591" xr:uid="{C4BDC1B0-2101-4056-AC14-052E0CA88739}"/>
    <cellStyle name="Normal 3 2 6 3 2" xfId="9159" xr:uid="{C0297512-63B2-41D1-BD3C-7662DBCE47B1}"/>
    <cellStyle name="Normal 3 2 6 4" xfId="6867" xr:uid="{14A90621-7F3A-4B94-B60E-F581F62F7C26}"/>
    <cellStyle name="Normal 3 2 7" xfId="2745" xr:uid="{03126ECE-F045-4AC9-9280-AD62EC4F2480}"/>
    <cellStyle name="Normal 3 2 7 2" xfId="5170" xr:uid="{0BF71D6A-4355-44E5-BEB1-606F70DD7ABA}"/>
    <cellStyle name="Normal 3 2 7 2 2" xfId="9738" xr:uid="{AED0B931-9454-4A7D-B610-4011655C1F25}"/>
    <cellStyle name="Normal 3 2 7 3" xfId="7446" xr:uid="{665A4A1B-E6AA-4F1A-B3B1-D441E3888BCE}"/>
    <cellStyle name="Normal 3 2 8" xfId="4160" xr:uid="{5B4DA931-11B4-478A-BD85-61EBBE40734B}"/>
    <cellStyle name="Normal 3 2 8 2" xfId="8729" xr:uid="{3A5FB731-843F-4ACB-B6DE-F71DA9C11BD0}"/>
    <cellStyle name="Normal 3 2 9" xfId="6438" xr:uid="{03FD359A-F196-4E2A-9864-426376CFCC65}"/>
    <cellStyle name="Normal 3 3" xfId="650" xr:uid="{00000000-0005-0000-0000-0000A8030000}"/>
    <cellStyle name="Normal 3 3 2" xfId="651" xr:uid="{00000000-0005-0000-0000-0000A9030000}"/>
    <cellStyle name="Normal 3 3 2 2" xfId="652" xr:uid="{00000000-0005-0000-0000-0000AA030000}"/>
    <cellStyle name="Normal 3 3 2 2 2" xfId="1849" xr:uid="{7E302B27-FC02-42CD-8121-84C5A7775131}"/>
    <cellStyle name="Normal 3 3 2 2 2 2" xfId="2396" xr:uid="{C2830992-A356-4132-8F70-8092F7488AFF}"/>
    <cellStyle name="Normal 3 3 2 2 2 2 2" xfId="3407" xr:uid="{1F011095-A726-4F55-83D4-D8FB433500BA}"/>
    <cellStyle name="Normal 3 3 2 2 2 2 2 2" xfId="5831" xr:uid="{65FC72D1-4F84-4341-8D54-DB5D636B0F54}"/>
    <cellStyle name="Normal 3 3 2 2 2 2 2 2 2" xfId="10399" xr:uid="{F16186BA-0C71-444A-B889-A7EE2E34532E}"/>
    <cellStyle name="Normal 3 3 2 2 2 2 2 3" xfId="8107" xr:uid="{4DD8C034-A302-403C-B6B7-33C5D3326987}"/>
    <cellStyle name="Normal 3 3 2 2 2 2 3" xfId="4822" xr:uid="{E76E2D6A-92ED-4DBA-B45F-4F3A02F4C226}"/>
    <cellStyle name="Normal 3 3 2 2 2 2 3 2" xfId="9390" xr:uid="{A2FE3F37-AF38-4FE5-A3A6-33EA07730D52}"/>
    <cellStyle name="Normal 3 3 2 2 2 2 4" xfId="7098" xr:uid="{7120C1CC-4316-4D0D-92F3-70886634142A}"/>
    <cellStyle name="Normal 3 3 2 2 2 3" xfId="2979" xr:uid="{731ECD91-8352-4E9E-9D5D-AEB1460276B8}"/>
    <cellStyle name="Normal 3 3 2 2 2 3 2" xfId="5403" xr:uid="{A9149592-4A1B-4D0E-98A9-608FB2EB77C0}"/>
    <cellStyle name="Normal 3 3 2 2 2 3 2 2" xfId="9971" xr:uid="{BE383081-AAB6-46E7-97EF-2C2DCEFE48E4}"/>
    <cellStyle name="Normal 3 3 2 2 2 3 3" xfId="7679" xr:uid="{0147ED7F-EDCA-4B38-95C8-6AC08FF987CB}"/>
    <cellStyle name="Normal 3 3 2 2 2 4" xfId="4394" xr:uid="{5EE04A6D-216D-4B4C-9688-A021F1AF5294}"/>
    <cellStyle name="Normal 3 3 2 2 2 4 2" xfId="8962" xr:uid="{0ED9C5A2-E2A9-4EC5-A371-0DE65834EDA0}"/>
    <cellStyle name="Normal 3 3 2 2 2 5" xfId="6670" xr:uid="{827FA007-4706-4F6B-905E-BCCB39D1A705}"/>
    <cellStyle name="Normal 3 3 2 2 3" xfId="2207" xr:uid="{E1423D70-7144-42AB-8501-18D6544D0720}"/>
    <cellStyle name="Normal 3 3 2 2 3 2" xfId="3220" xr:uid="{7BFBCC6C-EC00-48BD-9E47-DF48178FC8BF}"/>
    <cellStyle name="Normal 3 3 2 2 3 2 2" xfId="5644" xr:uid="{72BD402E-2D5F-47C2-A4D7-3496B38F1B7E}"/>
    <cellStyle name="Normal 3 3 2 2 3 2 2 2" xfId="10212" xr:uid="{E9980F27-BC1D-4CD8-8F67-6C239BBA1775}"/>
    <cellStyle name="Normal 3 3 2 2 3 2 3" xfId="7920" xr:uid="{925E7265-D0D8-435E-A803-9A0EE906C4B5}"/>
    <cellStyle name="Normal 3 3 2 2 3 3" xfId="4635" xr:uid="{85B6FA4A-BFA7-4F8E-86DD-78C577FADD2B}"/>
    <cellStyle name="Normal 3 3 2 2 3 3 2" xfId="9203" xr:uid="{89782D7D-A8E1-4BCC-ACAC-942B908F6348}"/>
    <cellStyle name="Normal 3 3 2 2 3 4" xfId="6911" xr:uid="{1DD8C21B-835C-4E7C-ACC0-A84C19E33684}"/>
    <cellStyle name="Normal 3 3 2 2 4" xfId="2789" xr:uid="{3C49B4D0-E786-4E01-BB76-B15324F59E32}"/>
    <cellStyle name="Normal 3 3 2 2 4 2" xfId="5214" xr:uid="{5CDBCC39-6265-469F-9B08-9A6969565F31}"/>
    <cellStyle name="Normal 3 3 2 2 4 2 2" xfId="9782" xr:uid="{C278A917-8417-49B8-A7EC-B41B889DD1D8}"/>
    <cellStyle name="Normal 3 3 2 2 4 3" xfId="7490" xr:uid="{F74CBEC6-FCE4-4EFD-A76A-8E7E2DD25526}"/>
    <cellStyle name="Normal 3 3 2 2 5" xfId="4204" xr:uid="{09F494B7-5CEE-4093-B97D-79BFAB3F8E68}"/>
    <cellStyle name="Normal 3 3 2 2 5 2" xfId="8773" xr:uid="{7A9CE982-2637-49E1-B84F-28C4BB32B0CC}"/>
    <cellStyle name="Normal 3 3 2 2 6" xfId="6482" xr:uid="{F47ED7CE-9749-492E-9E60-F32E8B3B34B1}"/>
    <cellStyle name="Normal 3 3 2 2 7" xfId="1562" xr:uid="{1FA7088F-93D2-495C-99A4-B33B95DC6094}"/>
    <cellStyle name="Normal 3 3 2 3" xfId="1848" xr:uid="{300590A5-0F10-494A-9BF5-0402EAA8BB0A}"/>
    <cellStyle name="Normal 3 3 2 3 2" xfId="2395" xr:uid="{4F38A945-28C1-4774-99E8-4314F84A4B44}"/>
    <cellStyle name="Normal 3 3 2 3 2 2" xfId="3406" xr:uid="{FFACB71E-A1B4-4440-AA2E-080D9954855D}"/>
    <cellStyle name="Normal 3 3 2 3 2 2 2" xfId="5830" xr:uid="{45AC81BD-197F-4CDD-8A3E-9A2DC234EE96}"/>
    <cellStyle name="Normal 3 3 2 3 2 2 2 2" xfId="10398" xr:uid="{BE29CF52-4E72-4446-B888-09EF2906C98F}"/>
    <cellStyle name="Normal 3 3 2 3 2 2 3" xfId="8106" xr:uid="{A7460786-5654-4A58-AFDD-DCC36AD4562E}"/>
    <cellStyle name="Normal 3 3 2 3 2 3" xfId="4821" xr:uid="{D755CC10-5EDA-41DE-864E-356A06BFA86E}"/>
    <cellStyle name="Normal 3 3 2 3 2 3 2" xfId="9389" xr:uid="{8CBBFBBB-81F0-46E7-B539-9F20624D7D3A}"/>
    <cellStyle name="Normal 3 3 2 3 2 4" xfId="7097" xr:uid="{0D7B8BB7-A311-4AD2-8CD7-A005C4B7D524}"/>
    <cellStyle name="Normal 3 3 2 3 3" xfId="2978" xr:uid="{00F365A3-6AA2-4F73-AD77-A70A8C9BE1CB}"/>
    <cellStyle name="Normal 3 3 2 3 3 2" xfId="5402" xr:uid="{964F80A0-C4EA-47DA-801A-830DB3BFD874}"/>
    <cellStyle name="Normal 3 3 2 3 3 2 2" xfId="9970" xr:uid="{7ABC2F5E-BD2F-4467-915F-DF73B6AA4D7F}"/>
    <cellStyle name="Normal 3 3 2 3 3 3" xfId="7678" xr:uid="{83C4BCDA-E8DF-41F5-84D1-D8F6E191CA89}"/>
    <cellStyle name="Normal 3 3 2 3 4" xfId="4393" xr:uid="{53F7A050-0CCD-400F-A4F2-8F5DFAD24624}"/>
    <cellStyle name="Normal 3 3 2 3 4 2" xfId="8961" xr:uid="{0B746096-BB6A-4544-B99E-078B2D42F8FC}"/>
    <cellStyle name="Normal 3 3 2 3 5" xfId="6669" xr:uid="{8F9FE36E-775F-4865-BB17-9072FE6CF583}"/>
    <cellStyle name="Normal 3 3 2 4" xfId="2206" xr:uid="{DE0F9169-C933-4EE8-9F3F-2CFA0C0CCD59}"/>
    <cellStyle name="Normal 3 3 2 4 2" xfId="3219" xr:uid="{0CD75955-D6D7-4F0B-A083-593D7913F2C7}"/>
    <cellStyle name="Normal 3 3 2 4 2 2" xfId="5643" xr:uid="{C8EF69A9-E02F-465A-B659-975FB7AB49D2}"/>
    <cellStyle name="Normal 3 3 2 4 2 2 2" xfId="10211" xr:uid="{DCDC815F-688D-4FB5-B4DB-58D12898E02B}"/>
    <cellStyle name="Normal 3 3 2 4 2 3" xfId="7919" xr:uid="{4ABAE152-1F4D-4A53-9920-4CDDFC4CF66B}"/>
    <cellStyle name="Normal 3 3 2 4 3" xfId="4634" xr:uid="{54DF5C5D-71FF-497C-8434-705583D70545}"/>
    <cellStyle name="Normal 3 3 2 4 3 2" xfId="9202" xr:uid="{D7A473A6-A4E7-4EFD-B8BB-BE30B70A5B97}"/>
    <cellStyle name="Normal 3 3 2 4 4" xfId="6910" xr:uid="{7036EB83-F777-4EC0-8D14-2C4302F46CB5}"/>
    <cellStyle name="Normal 3 3 2 5" xfId="2788" xr:uid="{40A6D4C3-8B4C-49B2-9FA2-7EB62527870F}"/>
    <cellStyle name="Normal 3 3 2 5 2" xfId="5213" xr:uid="{40C73195-C920-45B3-B6A5-85485652ACDA}"/>
    <cellStyle name="Normal 3 3 2 5 2 2" xfId="9781" xr:uid="{D0FF9AA3-D849-49FD-9AAE-A48490135513}"/>
    <cellStyle name="Normal 3 3 2 5 3" xfId="7489" xr:uid="{A22D140D-C37D-44D5-A208-79BBD3DDC52C}"/>
    <cellStyle name="Normal 3 3 2 6" xfId="4203" xr:uid="{B327335F-C426-4CC9-9A7E-AF7C1935E392}"/>
    <cellStyle name="Normal 3 3 2 6 2" xfId="8772" xr:uid="{EE48EF8F-397E-4D28-905E-65069BD15D8F}"/>
    <cellStyle name="Normal 3 3 2 7" xfId="6481" xr:uid="{741A2B98-C98E-4296-ADBD-FC32EE579991}"/>
    <cellStyle name="Normal 3 3 2 8" xfId="1561" xr:uid="{25A53AD2-9398-4580-A947-2957962F3080}"/>
    <cellStyle name="Normal 3 3 3" xfId="653" xr:uid="{00000000-0005-0000-0000-0000AB030000}"/>
    <cellStyle name="Normal 3 3 3 2" xfId="1850" xr:uid="{0A15B701-E936-4DCB-A3E1-64DAF51DD2AE}"/>
    <cellStyle name="Normal 3 3 3 2 2" xfId="2397" xr:uid="{FA772D7F-2F3F-4916-A105-68427D3FCAE6}"/>
    <cellStyle name="Normal 3 3 3 2 2 2" xfId="3408" xr:uid="{D20198B6-4B53-4CA9-AD55-97B0FAA95FF1}"/>
    <cellStyle name="Normal 3 3 3 2 2 2 2" xfId="5832" xr:uid="{97AEA5A1-0251-4230-A245-F177C5C61575}"/>
    <cellStyle name="Normal 3 3 3 2 2 2 2 2" xfId="10400" xr:uid="{8BFA7808-2BAB-45EE-B4BB-89FC1468145E}"/>
    <cellStyle name="Normal 3 3 3 2 2 2 3" xfId="8108" xr:uid="{F537F15E-D0C5-45A9-B853-131A6F0EEBB3}"/>
    <cellStyle name="Normal 3 3 3 2 2 3" xfId="4823" xr:uid="{2C97067B-BAD9-4488-83B3-95E50A2326FD}"/>
    <cellStyle name="Normal 3 3 3 2 2 3 2" xfId="9391" xr:uid="{2FE3E324-D0C3-4FDC-8857-1C62CA6E8899}"/>
    <cellStyle name="Normal 3 3 3 2 2 4" xfId="7099" xr:uid="{6325F500-6FF4-4579-AFBA-66B046CA1202}"/>
    <cellStyle name="Normal 3 3 3 2 3" xfId="2980" xr:uid="{BABCBD1C-D543-4719-B7DB-B05846123001}"/>
    <cellStyle name="Normal 3 3 3 2 3 2" xfId="5404" xr:uid="{4AEFEF9C-2AFB-4BDA-AF80-A015CF135075}"/>
    <cellStyle name="Normal 3 3 3 2 3 2 2" xfId="9972" xr:uid="{176774C0-5A7F-466D-9D55-722E05C1A0A9}"/>
    <cellStyle name="Normal 3 3 3 2 3 3" xfId="7680" xr:uid="{F4F05829-C8F0-4003-8ED8-DFF15BAC00B7}"/>
    <cellStyle name="Normal 3 3 3 2 4" xfId="4395" xr:uid="{9B573F45-1DD4-4896-88BF-ABD360099CA3}"/>
    <cellStyle name="Normal 3 3 3 2 4 2" xfId="8963" xr:uid="{7892F4DA-320D-4C4B-B5AF-DB8377A54A1A}"/>
    <cellStyle name="Normal 3 3 3 2 5" xfId="6671" xr:uid="{486A1B3D-0B02-4310-8F8B-021D18090ABD}"/>
    <cellStyle name="Normal 3 3 3 3" xfId="2208" xr:uid="{020E4A0A-9373-416E-A4B0-DAC810E5BAE2}"/>
    <cellStyle name="Normal 3 3 3 3 2" xfId="3221" xr:uid="{5B30CE0A-BD9C-4725-A456-4AB0A9FA0D04}"/>
    <cellStyle name="Normal 3 3 3 3 2 2" xfId="5645" xr:uid="{CAEE562B-6D62-468B-9430-BE80C850B915}"/>
    <cellStyle name="Normal 3 3 3 3 2 2 2" xfId="10213" xr:uid="{F8A3B3C1-0449-4BC7-9DBD-70A10B5397A6}"/>
    <cellStyle name="Normal 3 3 3 3 2 3" xfId="7921" xr:uid="{7CF5C5BA-6045-4679-8D85-F42196EA4147}"/>
    <cellStyle name="Normal 3 3 3 3 3" xfId="4636" xr:uid="{A3AB7702-BB49-4457-8600-222687F1B1D9}"/>
    <cellStyle name="Normal 3 3 3 3 3 2" xfId="9204" xr:uid="{42863651-C6BC-40FC-ACA8-FE9ED6201076}"/>
    <cellStyle name="Normal 3 3 3 3 4" xfId="6912" xr:uid="{B77D481F-4BC3-4278-99A4-F45D0739F321}"/>
    <cellStyle name="Normal 3 3 3 4" xfId="2790" xr:uid="{25BE7E92-E735-475E-AA1A-AAC951DDAA1E}"/>
    <cellStyle name="Normal 3 3 3 4 2" xfId="5215" xr:uid="{B4438A56-81D9-4C7A-A548-77C4C56901FC}"/>
    <cellStyle name="Normal 3 3 3 4 2 2" xfId="9783" xr:uid="{57E33E8A-870C-48A2-A938-32DC5EF112FC}"/>
    <cellStyle name="Normal 3 3 3 4 3" xfId="7491" xr:uid="{BEA6B65D-CC4C-440F-8B8C-D7683B9CD213}"/>
    <cellStyle name="Normal 3 3 3 5" xfId="4205" xr:uid="{6ECB50A7-78ED-4CD3-A6C8-F560FB5C85ED}"/>
    <cellStyle name="Normal 3 3 3 5 2" xfId="8774" xr:uid="{5AEAB822-D379-4D51-B070-EC707B0A736B}"/>
    <cellStyle name="Normal 3 3 3 6" xfId="6483" xr:uid="{0682F1A0-03A8-4BFD-975A-55D196E9B2B6}"/>
    <cellStyle name="Normal 3 3 3 7" xfId="1563" xr:uid="{AE7C4AE3-FB4C-4BB0-B261-330DE765E39A}"/>
    <cellStyle name="Normal 3 3 4" xfId="1847" xr:uid="{313CF571-9474-449F-BDDE-43A66871BAA3}"/>
    <cellStyle name="Normal 3 3 4 2" xfId="2394" xr:uid="{CCFC3B42-3354-43AE-8D95-B316F42F30DA}"/>
    <cellStyle name="Normal 3 3 4 2 2" xfId="3405" xr:uid="{EE119F7A-7B41-4778-8AD1-18CF2922F6B5}"/>
    <cellStyle name="Normal 3 3 4 2 2 2" xfId="5829" xr:uid="{6CF16CB8-8BF9-4F13-B4F3-186101EE58D9}"/>
    <cellStyle name="Normal 3 3 4 2 2 2 2" xfId="10397" xr:uid="{27E2BBE8-8DFB-4274-ABAD-C1ADAB28DA46}"/>
    <cellStyle name="Normal 3 3 4 2 2 3" xfId="8105" xr:uid="{A23FDF69-6970-4F9A-9E1E-7B30AEAAC987}"/>
    <cellStyle name="Normal 3 3 4 2 3" xfId="4820" xr:uid="{DB8BBE74-5690-4F1A-92ED-48AE53FE2DA4}"/>
    <cellStyle name="Normal 3 3 4 2 3 2" xfId="9388" xr:uid="{22F967B3-FAA6-49EF-8FCE-F462479943FF}"/>
    <cellStyle name="Normal 3 3 4 2 4" xfId="7096" xr:uid="{866FE621-CA83-4216-A225-E72A16BB9C8F}"/>
    <cellStyle name="Normal 3 3 4 3" xfId="2977" xr:uid="{6F65602F-3FE0-4802-B6A8-D45F7B98A683}"/>
    <cellStyle name="Normal 3 3 4 3 2" xfId="5401" xr:uid="{F4B13F3B-0018-4728-A982-EBAC4F49C008}"/>
    <cellStyle name="Normal 3 3 4 3 2 2" xfId="9969" xr:uid="{E50926C7-A08D-4620-9778-C5F65E9C5F2E}"/>
    <cellStyle name="Normal 3 3 4 3 3" xfId="7677" xr:uid="{5003A2B1-BFFC-4462-B9D4-5B7528B21741}"/>
    <cellStyle name="Normal 3 3 4 4" xfId="4392" xr:uid="{52CCD7AC-337C-43D4-BF0A-FA3E0F846FF2}"/>
    <cellStyle name="Normal 3 3 4 4 2" xfId="8960" xr:uid="{3803C14F-E787-4B9D-B298-F747BBE78831}"/>
    <cellStyle name="Normal 3 3 4 5" xfId="6668" xr:uid="{2B86C3E9-4313-4E20-B35E-108936886794}"/>
    <cellStyle name="Normal 3 3 5" xfId="2205" xr:uid="{CC524A5E-F3B7-4870-853F-3196AAAE8325}"/>
    <cellStyle name="Normal 3 3 5 2" xfId="3218" xr:uid="{268FD60E-84B3-4B15-B9CE-FB2177DCDFFB}"/>
    <cellStyle name="Normal 3 3 5 2 2" xfId="5642" xr:uid="{77E26849-9164-4062-B24C-398B47E3FCED}"/>
    <cellStyle name="Normal 3 3 5 2 2 2" xfId="10210" xr:uid="{6360A704-23E0-41C5-806C-1A433012DB15}"/>
    <cellStyle name="Normal 3 3 5 2 3" xfId="7918" xr:uid="{5E48C7B1-C2A0-4D95-BB93-D5741F22FFC1}"/>
    <cellStyle name="Normal 3 3 5 3" xfId="4633" xr:uid="{F00AC40C-2A69-4740-AAF8-69C16B0F27F8}"/>
    <cellStyle name="Normal 3 3 5 3 2" xfId="9201" xr:uid="{2B543BF6-9B01-4278-9B5E-8220E404DB2D}"/>
    <cellStyle name="Normal 3 3 5 4" xfId="6909" xr:uid="{ACB62A07-CEBB-4288-9050-DE102D615BB7}"/>
    <cellStyle name="Normal 3 3 6" xfId="2787" xr:uid="{5946411E-6284-4B27-80CD-F476D24EB580}"/>
    <cellStyle name="Normal 3 3 6 2" xfId="5212" xr:uid="{E088D4DB-BCAD-45CA-9130-A324F2CAC6C0}"/>
    <cellStyle name="Normal 3 3 6 2 2" xfId="9780" xr:uid="{A6B69E60-65E7-4EF0-95E2-A1A7C7081E61}"/>
    <cellStyle name="Normal 3 3 6 3" xfId="7488" xr:uid="{24DD6B82-E789-4182-BAFC-B35C85DFA4FA}"/>
    <cellStyle name="Normal 3 3 7" xfId="4202" xr:uid="{3B376DE4-5088-4592-9F9E-FC8688016C9B}"/>
    <cellStyle name="Normal 3 3 7 2" xfId="8771" xr:uid="{FD9C9701-6227-438F-942D-59CA50717852}"/>
    <cellStyle name="Normal 3 3 8" xfId="6480" xr:uid="{DC65179B-B52E-4800-B51D-A9D844BE1B3C}"/>
    <cellStyle name="Normal 3 3 9" xfId="1560" xr:uid="{EEE22003-D520-4C2E-9AB5-4BCF49DCBE23}"/>
    <cellStyle name="Normal 3 4" xfId="654" xr:uid="{00000000-0005-0000-0000-0000AC030000}"/>
    <cellStyle name="Normal 3 4 2" xfId="655" xr:uid="{00000000-0005-0000-0000-0000AD030000}"/>
    <cellStyle name="Normal 3 4 2 2" xfId="1852" xr:uid="{888783A7-0F90-4D7F-A590-408A62A6CBC9}"/>
    <cellStyle name="Normal 3 4 2 2 2" xfId="2399" xr:uid="{14BF3672-A1CD-404B-9B27-E63B43B08EF4}"/>
    <cellStyle name="Normal 3 4 2 2 2 2" xfId="3410" xr:uid="{336EBCC3-322A-4000-B251-4B2014164045}"/>
    <cellStyle name="Normal 3 4 2 2 2 2 2" xfId="5834" xr:uid="{61FC0CE9-B09C-4DDE-9273-9AD34A7B5C38}"/>
    <cellStyle name="Normal 3 4 2 2 2 2 2 2" xfId="10402" xr:uid="{58368A5C-5482-49E9-9081-F935C3E325FD}"/>
    <cellStyle name="Normal 3 4 2 2 2 2 3" xfId="8110" xr:uid="{48A2A809-4636-40CF-9BF7-BE4B41B264A4}"/>
    <cellStyle name="Normal 3 4 2 2 2 3" xfId="4825" xr:uid="{4498E4CC-AA65-4327-9614-FA8DDF1AB268}"/>
    <cellStyle name="Normal 3 4 2 2 2 3 2" xfId="9393" xr:uid="{EC774D28-BBBB-4B04-8B13-181BB83324B1}"/>
    <cellStyle name="Normal 3 4 2 2 2 4" xfId="7101" xr:uid="{5C21A5B5-3892-4607-8D9D-0DDAF4BCBA14}"/>
    <cellStyle name="Normal 3 4 2 2 3" xfId="2982" xr:uid="{78B0B916-A27E-4E16-958F-B6BEED1449A5}"/>
    <cellStyle name="Normal 3 4 2 2 3 2" xfId="5406" xr:uid="{F207D8BB-F848-4181-B3AF-D68CA58B5872}"/>
    <cellStyle name="Normal 3 4 2 2 3 2 2" xfId="9974" xr:uid="{E3DCBB35-C298-48A5-B161-31F9CE7DC770}"/>
    <cellStyle name="Normal 3 4 2 2 3 3" xfId="7682" xr:uid="{610CEFEA-342C-4071-A17B-4AC1FB5ADA2C}"/>
    <cellStyle name="Normal 3 4 2 2 4" xfId="4397" xr:uid="{F4A7AA85-10FB-4E0B-9ED4-92DB9C70BCA7}"/>
    <cellStyle name="Normal 3 4 2 2 4 2" xfId="8965" xr:uid="{B15B2365-39E7-42F6-8E63-BCD4409CF060}"/>
    <cellStyle name="Normal 3 4 2 2 5" xfId="6673" xr:uid="{705E1FEB-8520-4248-AA23-7710EFFF7CC1}"/>
    <cellStyle name="Normal 3 4 2 3" xfId="2210" xr:uid="{FB788D8F-D24B-462A-8F13-CF95A25252DD}"/>
    <cellStyle name="Normal 3 4 2 3 2" xfId="3223" xr:uid="{8E7F543B-12FC-42BF-B7CE-58AE284EB2EE}"/>
    <cellStyle name="Normal 3 4 2 3 2 2" xfId="5647" xr:uid="{B041FE14-4F3B-45C4-866F-719BBF1DF63F}"/>
    <cellStyle name="Normal 3 4 2 3 2 2 2" xfId="10215" xr:uid="{299B61D4-7B8B-4DFB-A131-3E06B679193A}"/>
    <cellStyle name="Normal 3 4 2 3 2 3" xfId="7923" xr:uid="{894B5D88-5D08-487B-AA05-281066AF3B8C}"/>
    <cellStyle name="Normal 3 4 2 3 3" xfId="4638" xr:uid="{EF5624C5-851C-4B07-9DEF-8CE263F98773}"/>
    <cellStyle name="Normal 3 4 2 3 3 2" xfId="9206" xr:uid="{2FBB14BC-9126-40E0-BC7E-121187586934}"/>
    <cellStyle name="Normal 3 4 2 3 4" xfId="6914" xr:uid="{C36501B4-E748-4503-A6D7-C85DD44F5CC8}"/>
    <cellStyle name="Normal 3 4 2 4" xfId="2792" xr:uid="{A1A11F93-5907-418B-AD05-35B4EC696440}"/>
    <cellStyle name="Normal 3 4 2 4 2" xfId="5217" xr:uid="{69E0F97E-B4B9-4CE0-8248-EE86658E50F4}"/>
    <cellStyle name="Normal 3 4 2 4 2 2" xfId="9785" xr:uid="{3454BC46-E80E-44E7-A7EF-7E32F3FAA4BB}"/>
    <cellStyle name="Normal 3 4 2 4 3" xfId="7493" xr:uid="{FD86B563-6FB5-48C9-B770-25C4A7C2C634}"/>
    <cellStyle name="Normal 3 4 2 5" xfId="4207" xr:uid="{2CFE68EB-21A0-45E9-B3D3-735ACB7B057A}"/>
    <cellStyle name="Normal 3 4 2 5 2" xfId="8776" xr:uid="{C2EE8101-79B3-44AA-8C2F-653FC51FAEE4}"/>
    <cellStyle name="Normal 3 4 2 6" xfId="6485" xr:uid="{EC773658-7CDF-4AB6-A317-A468324E26C5}"/>
    <cellStyle name="Normal 3 4 2 7" xfId="1565" xr:uid="{FB6466BD-9A3F-41AF-A1F8-51B0B66AFB94}"/>
    <cellStyle name="Normal 3 4 3" xfId="1851" xr:uid="{2F6F3BA8-97F8-4886-AB6D-2046343972FA}"/>
    <cellStyle name="Normal 3 4 3 2" xfId="2398" xr:uid="{4A9FF6AE-E9B2-4945-80E2-9E68648979A3}"/>
    <cellStyle name="Normal 3 4 3 2 2" xfId="3409" xr:uid="{1A4EBF39-0842-4478-B8B6-0F57171F33EA}"/>
    <cellStyle name="Normal 3 4 3 2 2 2" xfId="5833" xr:uid="{FD88D0F5-D472-4387-9208-12A547C1055D}"/>
    <cellStyle name="Normal 3 4 3 2 2 2 2" xfId="10401" xr:uid="{993069B7-F0A0-43E0-968D-947BDD1CADE5}"/>
    <cellStyle name="Normal 3 4 3 2 2 3" xfId="8109" xr:uid="{CE4B5D9D-B1CC-4ADA-84DD-50F7F64386FF}"/>
    <cellStyle name="Normal 3 4 3 2 3" xfId="4824" xr:uid="{58D0AAB5-D17E-45A0-BB7D-229ED1718385}"/>
    <cellStyle name="Normal 3 4 3 2 3 2" xfId="9392" xr:uid="{1ADDE24D-1C69-44BF-9580-44BAD7B86173}"/>
    <cellStyle name="Normal 3 4 3 2 4" xfId="7100" xr:uid="{DCD4218A-F47C-4D5A-9717-F2DEA076E478}"/>
    <cellStyle name="Normal 3 4 3 3" xfId="2981" xr:uid="{EF86819E-D2A0-414E-9EB6-3CA6180DEA3A}"/>
    <cellStyle name="Normal 3 4 3 3 2" xfId="5405" xr:uid="{316F342B-9FF0-4FBD-8DF0-F4B255A74A0C}"/>
    <cellStyle name="Normal 3 4 3 3 2 2" xfId="9973" xr:uid="{0A40B5F8-4166-46FB-8FA0-2494005EC0B6}"/>
    <cellStyle name="Normal 3 4 3 3 3" xfId="7681" xr:uid="{D0DC3E67-8FC3-4EB1-B394-4F47195A5BAE}"/>
    <cellStyle name="Normal 3 4 3 4" xfId="4396" xr:uid="{5DB6CA81-C78F-4549-9000-F94C60F7F252}"/>
    <cellStyle name="Normal 3 4 3 4 2" xfId="8964" xr:uid="{65D1A9E8-575C-4EDC-9431-1E9118ECFA2F}"/>
    <cellStyle name="Normal 3 4 3 5" xfId="6672" xr:uid="{A3F1968D-0704-4BD6-8C7B-2D7FCDEC04E1}"/>
    <cellStyle name="Normal 3 4 4" xfId="2209" xr:uid="{4F8BCC51-78A9-43EB-A596-F34AAC024C43}"/>
    <cellStyle name="Normal 3 4 4 2" xfId="3222" xr:uid="{013D825E-A45F-4E71-ADCF-2ED3829AEBF4}"/>
    <cellStyle name="Normal 3 4 4 2 2" xfId="5646" xr:uid="{F494F719-3DDD-4F84-B2AD-B1C3231DD03C}"/>
    <cellStyle name="Normal 3 4 4 2 2 2" xfId="10214" xr:uid="{723B0906-199D-470D-BD5A-10A231929C90}"/>
    <cellStyle name="Normal 3 4 4 2 3" xfId="7922" xr:uid="{57576227-232D-4D04-AC8D-5B275A76237D}"/>
    <cellStyle name="Normal 3 4 4 3" xfId="4637" xr:uid="{35EBBA56-DAFF-439F-85C2-5825887555D5}"/>
    <cellStyle name="Normal 3 4 4 3 2" xfId="9205" xr:uid="{5B6CA5B3-764E-47F2-8B61-79FB144E4CFC}"/>
    <cellStyle name="Normal 3 4 4 4" xfId="6913" xr:uid="{D5E6406F-2BE4-4ACD-BDB6-66B4E2D2218D}"/>
    <cellStyle name="Normal 3 4 5" xfId="2791" xr:uid="{9C6578C5-45C2-4A59-AF16-E5E6E135F328}"/>
    <cellStyle name="Normal 3 4 5 2" xfId="5216" xr:uid="{8E98054A-620E-4813-9CCD-B3057497BCCC}"/>
    <cellStyle name="Normal 3 4 5 2 2" xfId="9784" xr:uid="{0D77CCA3-076A-46F8-B56D-2A181A3F04F3}"/>
    <cellStyle name="Normal 3 4 5 3" xfId="7492" xr:uid="{367D5398-53C3-49B7-844D-C25DF6FBCFA5}"/>
    <cellStyle name="Normal 3 4 6" xfId="4206" xr:uid="{B119EF30-D2DF-46D4-8E38-77D7A6323BFD}"/>
    <cellStyle name="Normal 3 4 6 2" xfId="8775" xr:uid="{E4E2B976-5B53-4111-BE8F-B6D4A81510CE}"/>
    <cellStyle name="Normal 3 4 7" xfId="6484" xr:uid="{D326CCF6-53CA-40B6-88F5-403F2ECA39A1}"/>
    <cellStyle name="Normal 3 4 8" xfId="1564" xr:uid="{1EE9054C-A253-4131-BE7C-D56500A0E0B6}"/>
    <cellStyle name="Normal 3 5" xfId="656" xr:uid="{00000000-0005-0000-0000-0000AE030000}"/>
    <cellStyle name="Normal 3 6" xfId="943" xr:uid="{00000000-0005-0000-0000-0000AF030000}"/>
    <cellStyle name="Normal 3 7" xfId="951" xr:uid="{00000000-0005-0000-0000-0000B0030000}"/>
    <cellStyle name="Normal 3 8" xfId="957" xr:uid="{00000000-0005-0000-0000-0000B1030000}"/>
    <cellStyle name="Normal 3 9" xfId="959" xr:uid="{00000000-0005-0000-0000-0000B2030000}"/>
    <cellStyle name="Normal 3_MES A MES JULIO  2010 (2)" xfId="657" xr:uid="{00000000-0005-0000-0000-0000B3030000}"/>
    <cellStyle name="Normal 30" xfId="982" xr:uid="{00000000-0005-0000-0000-0000B4030000}"/>
    <cellStyle name="Normal 30 2" xfId="1632" xr:uid="{ED7188EE-AFC3-4033-8539-6BCA24B98782}"/>
    <cellStyle name="Normal 30 2 10" xfId="2277" xr:uid="{10163949-DBA1-4C5E-B1A9-B670C0EC9396}"/>
    <cellStyle name="Normal 30 2 10 2" xfId="3288" xr:uid="{8BB9A4BA-236B-4A44-823C-62EC32BB818A}"/>
    <cellStyle name="Normal 30 2 10 2 2" xfId="5712" xr:uid="{20D40F14-051E-4D76-BE68-EA8AC287C669}"/>
    <cellStyle name="Normal 30 2 10 2 2 2" xfId="10280" xr:uid="{03DC6A56-EB51-45A0-9A45-6755EF92043C}"/>
    <cellStyle name="Normal 30 2 10 2 3" xfId="7988" xr:uid="{7B0738E3-E694-440E-A9BF-169883BD4193}"/>
    <cellStyle name="Normal 30 2 10 3" xfId="4703" xr:uid="{3B078778-8B7F-4630-A4E9-D8ECE3BBDE54}"/>
    <cellStyle name="Normal 30 2 10 3 2" xfId="9271" xr:uid="{7C0B8E78-6673-4F7C-8384-7E170CE4D39D}"/>
    <cellStyle name="Normal 30 2 10 4" xfId="6979" xr:uid="{369AC2F9-BF4E-473D-8056-9CE378224F23}"/>
    <cellStyle name="Normal 30 2 11" xfId="2860" xr:uid="{E4BFDBF0-4CAE-47E8-9E4D-584D5BB1B649}"/>
    <cellStyle name="Normal 30 2 11 2" xfId="5284" xr:uid="{CF57E300-9692-4770-A271-EC144EDBBD3A}"/>
    <cellStyle name="Normal 30 2 11 2 2" xfId="9852" xr:uid="{1BAF8A12-D51C-4542-88BA-60717ACD4059}"/>
    <cellStyle name="Normal 30 2 11 3" xfId="7560" xr:uid="{BD75E4C3-9C74-43CE-BA81-A85CB624A649}"/>
    <cellStyle name="Normal 30 2 12" xfId="4275" xr:uid="{5068650F-3100-4A61-A57B-AB78377C64F3}"/>
    <cellStyle name="Normal 30 2 12 2" xfId="8843" xr:uid="{06555346-C4A0-4E6B-9296-56EE32731BE1}"/>
    <cellStyle name="Normal 30 2 13" xfId="6551" xr:uid="{44CE43C4-92DE-41C6-A4B1-427CFFB14F68}"/>
    <cellStyle name="Normal 30 2 2" xfId="1639" xr:uid="{6026D40E-111F-4122-8C7E-83A317A92F6E}"/>
    <cellStyle name="Normal 30 2 2 2" xfId="1929" xr:uid="{8170EBD5-F939-45B5-939C-B9DC741DD662}"/>
    <cellStyle name="Normal 30 2 2 2 2" xfId="2471" xr:uid="{3BD716C6-EC71-4B88-991D-41FB1B1948FD}"/>
    <cellStyle name="Normal 30 2 2 2 2 2" xfId="3482" xr:uid="{4AD3FCE0-688B-49D0-A0C8-7A5F9B37C34D}"/>
    <cellStyle name="Normal 30 2 2 2 2 2 2" xfId="5906" xr:uid="{C296638C-C5E2-45A6-A4CE-8A5D14BE0D85}"/>
    <cellStyle name="Normal 30 2 2 2 2 2 2 2" xfId="10474" xr:uid="{1918F109-8013-4487-95BF-8B8A433F3B41}"/>
    <cellStyle name="Normal 30 2 2 2 2 2 3" xfId="8182" xr:uid="{79BCECA6-47F6-46FE-A451-2663F16964C0}"/>
    <cellStyle name="Normal 30 2 2 2 2 3" xfId="4897" xr:uid="{63073BE0-6D64-4EB7-870B-A693FA4FF9E4}"/>
    <cellStyle name="Normal 30 2 2 2 2 3 2" xfId="9465" xr:uid="{3FE485B2-440C-458A-9094-293AA5C36892}"/>
    <cellStyle name="Normal 30 2 2 2 2 4" xfId="7173" xr:uid="{05C26272-9AA0-4656-AF57-35B2150248EE}"/>
    <cellStyle name="Normal 30 2 2 2 3" xfId="3054" xr:uid="{3F0215D4-80EE-4A2D-AC80-4B7C98C85701}"/>
    <cellStyle name="Normal 30 2 2 2 3 2" xfId="5478" xr:uid="{8B2BA522-544C-4784-8A4C-C646D970CBDC}"/>
    <cellStyle name="Normal 30 2 2 2 3 2 2" xfId="10046" xr:uid="{BE925960-E704-4ADC-A0B1-5C147CD7628D}"/>
    <cellStyle name="Normal 30 2 2 2 3 3" xfId="7754" xr:uid="{9C525DAB-705C-4880-B793-F44A5352C43D}"/>
    <cellStyle name="Normal 30 2 2 2 4" xfId="4469" xr:uid="{B21524CE-39ED-4B0D-98EB-7F83159EEA02}"/>
    <cellStyle name="Normal 30 2 2 2 4 2" xfId="9037" xr:uid="{7527094A-ADDD-46FB-8391-9A2E140F41C2}"/>
    <cellStyle name="Normal 30 2 2 2 5" xfId="6745" xr:uid="{E0CD824A-18BB-4AED-BB76-374BE08F917F}"/>
    <cellStyle name="Normal 30 2 2 3" xfId="2284" xr:uid="{4E61DD7A-8C47-4DB6-A320-35E34205E8AB}"/>
    <cellStyle name="Normal 30 2 2 3 2" xfId="3295" xr:uid="{28E53B0D-026E-4327-9F17-C090BB006A0F}"/>
    <cellStyle name="Normal 30 2 2 3 2 2" xfId="5719" xr:uid="{3E789FB1-AEBE-4B78-BC4C-E8EB5B60B56A}"/>
    <cellStyle name="Normal 30 2 2 3 2 2 2" xfId="10287" xr:uid="{DCE74241-03FD-43D0-8E81-33ED45FADEF3}"/>
    <cellStyle name="Normal 30 2 2 3 2 3" xfId="7995" xr:uid="{823BB060-C6F3-4592-90CF-7120A5763260}"/>
    <cellStyle name="Normal 30 2 2 3 3" xfId="4710" xr:uid="{F92822D4-95D1-4690-9AD4-D7BBE1847AD8}"/>
    <cellStyle name="Normal 30 2 2 3 3 2" xfId="9278" xr:uid="{F0CC0BBA-BC13-4F53-B488-7003CA2674C4}"/>
    <cellStyle name="Normal 30 2 2 3 4" xfId="6986" xr:uid="{E524CD83-0B99-428B-AD79-F0153CFADAD9}"/>
    <cellStyle name="Normal 30 2 2 4" xfId="2867" xr:uid="{1DFAB917-FDF9-4CCD-8B43-89B59F5EDE80}"/>
    <cellStyle name="Normal 30 2 2 4 2" xfId="5291" xr:uid="{3D9629ED-E525-4393-847D-C1B3A7BEF31E}"/>
    <cellStyle name="Normal 30 2 2 4 2 2" xfId="9859" xr:uid="{168C4BA2-9C46-4DA0-8ABC-738BFAD60F40}"/>
    <cellStyle name="Normal 30 2 2 4 3" xfId="7567" xr:uid="{DABDD955-0851-462A-886F-44E406D480A7}"/>
    <cellStyle name="Normal 30 2 2 5" xfId="4282" xr:uid="{B28DC18F-5BAB-4C0E-9820-40DD92A2AC79}"/>
    <cellStyle name="Normal 30 2 2 5 2" xfId="8850" xr:uid="{084A5FDE-82D7-4A17-9C18-00CD25F54E14}"/>
    <cellStyle name="Normal 30 2 2 6" xfId="6558" xr:uid="{2538E1FF-D50B-494C-B554-02BEA5A005B8}"/>
    <cellStyle name="Normal 30 2 3" xfId="1645" xr:uid="{7AA2AEF2-C1BC-43BC-BAE6-CB86264172D3}"/>
    <cellStyle name="Normal 30 2 3 2" xfId="1935" xr:uid="{4DC146C8-A5B1-46E7-846A-95ABC9F1C862}"/>
    <cellStyle name="Normal 30 2 3 2 2" xfId="2477" xr:uid="{7A2890FB-792D-4006-A414-CA9F7A22CC09}"/>
    <cellStyle name="Normal 30 2 3 2 2 2" xfId="3488" xr:uid="{73A53497-6211-482A-8437-5F720AD42CE5}"/>
    <cellStyle name="Normal 30 2 3 2 2 2 2" xfId="5912" xr:uid="{FE13D81A-4C3F-4F95-BE2A-8F53B03BAF5A}"/>
    <cellStyle name="Normal 30 2 3 2 2 2 2 2" xfId="10480" xr:uid="{F8D8D2DE-B893-49F6-BFA9-C6ADEBA93C0A}"/>
    <cellStyle name="Normal 30 2 3 2 2 2 3" xfId="8188" xr:uid="{C5E37EF0-691B-48A2-89D0-14888BFE76CD}"/>
    <cellStyle name="Normal 30 2 3 2 2 3" xfId="4903" xr:uid="{3130FA5F-D67B-47B2-98BD-FB16607F8D44}"/>
    <cellStyle name="Normal 30 2 3 2 2 3 2" xfId="9471" xr:uid="{DDD735B3-EC59-4631-9822-BF39F803F6D2}"/>
    <cellStyle name="Normal 30 2 3 2 2 4" xfId="7179" xr:uid="{64FEA0A4-D882-4FAC-9175-15E77EB34F62}"/>
    <cellStyle name="Normal 30 2 3 2 3" xfId="3060" xr:uid="{FBC298C0-939C-4E10-A28D-7B586C28B9D4}"/>
    <cellStyle name="Normal 30 2 3 2 3 2" xfId="5484" xr:uid="{D266ECA1-FA06-4EDD-A0A7-B11886000F65}"/>
    <cellStyle name="Normal 30 2 3 2 3 2 2" xfId="10052" xr:uid="{600CB1E6-9674-4E34-A18B-5CC07FD20F89}"/>
    <cellStyle name="Normal 30 2 3 2 3 3" xfId="7760" xr:uid="{3A50DF71-5EEA-4ED0-B337-2101BB3E9DF2}"/>
    <cellStyle name="Normal 30 2 3 2 4" xfId="4475" xr:uid="{1F6D6FDB-D908-4353-B212-EE1A5F54C62C}"/>
    <cellStyle name="Normal 30 2 3 2 4 2" xfId="9043" xr:uid="{8B0CF19E-0843-4D3E-8CA4-815E0943EB05}"/>
    <cellStyle name="Normal 30 2 3 2 5" xfId="6751" xr:uid="{B9872474-F673-4855-9226-80177C370A8A}"/>
    <cellStyle name="Normal 30 2 3 3" xfId="2290" xr:uid="{33B8F51D-E864-432C-ABA4-027C8795B512}"/>
    <cellStyle name="Normal 30 2 3 3 2" xfId="3301" xr:uid="{5CF14357-D6E1-4AD2-8112-837D67F64516}"/>
    <cellStyle name="Normal 30 2 3 3 2 2" xfId="5725" xr:uid="{A6E5DE19-3E2E-4ABC-834E-D6B9CFA8A0A4}"/>
    <cellStyle name="Normal 30 2 3 3 2 2 2" xfId="10293" xr:uid="{46BAC8E1-C6DA-4628-97BB-4898D1A3C157}"/>
    <cellStyle name="Normal 30 2 3 3 2 3" xfId="8001" xr:uid="{CB4056B0-1CE3-4443-80CF-9C7D04D86F53}"/>
    <cellStyle name="Normal 30 2 3 3 3" xfId="4716" xr:uid="{6A77D411-5373-4E91-8148-D8E34979D87C}"/>
    <cellStyle name="Normal 30 2 3 3 3 2" xfId="9284" xr:uid="{D4606364-D8A7-4B90-8E5C-C2BEB796BDDB}"/>
    <cellStyle name="Normal 30 2 3 3 4" xfId="6992" xr:uid="{C214C950-1358-4F64-BFD3-FE42274E6EEE}"/>
    <cellStyle name="Normal 30 2 3 4" xfId="2873" xr:uid="{5F6584D2-0B8F-4F5F-8C91-283B0E4F778F}"/>
    <cellStyle name="Normal 30 2 3 4 2" xfId="5297" xr:uid="{6586B2DC-56ED-491E-A7CF-92E179CEBE90}"/>
    <cellStyle name="Normal 30 2 3 4 2 2" xfId="9865" xr:uid="{DC9E7FAB-9D25-4527-800D-850B6D7ED444}"/>
    <cellStyle name="Normal 30 2 3 4 3" xfId="7573" xr:uid="{1883E1C4-E9AA-410A-8273-FF2C1211F09A}"/>
    <cellStyle name="Normal 30 2 3 5" xfId="4288" xr:uid="{4F855235-1F0F-4DF9-BFE0-8AFC71CC4FF8}"/>
    <cellStyle name="Normal 30 2 3 5 2" xfId="8856" xr:uid="{B8899ED6-382A-4A52-ACD0-B0772E7A49ED}"/>
    <cellStyle name="Normal 30 2 3 6" xfId="6564" xr:uid="{A08B0FDB-BA8A-46D4-BA5B-D3AE33D4C058}"/>
    <cellStyle name="Normal 30 2 4" xfId="1922" xr:uid="{D00D52E9-91E5-4EB1-A87B-FBFE694F0317}"/>
    <cellStyle name="Normal 30 2 4 2" xfId="2464" xr:uid="{70D066DC-D11B-48BE-B11F-E73971D1A0D2}"/>
    <cellStyle name="Normal 30 2 4 2 2" xfId="3475" xr:uid="{1699E425-967F-48E3-99B6-F2B0E5109D85}"/>
    <cellStyle name="Normal 30 2 4 2 2 2" xfId="5899" xr:uid="{DFDA6FA8-EACB-4B3A-9CBB-A90C0A6B6823}"/>
    <cellStyle name="Normal 30 2 4 2 2 2 2" xfId="10467" xr:uid="{05D30FF0-F0A6-482A-AD45-BD83F6E5B5FE}"/>
    <cellStyle name="Normal 30 2 4 2 2 3" xfId="8175" xr:uid="{0207FFCC-1293-4B22-B658-D19CE8AC52DB}"/>
    <cellStyle name="Normal 30 2 4 2 3" xfId="4890" xr:uid="{94511A29-BB20-4AC1-BF16-78DA8B02FF8F}"/>
    <cellStyle name="Normal 30 2 4 2 3 2" xfId="9458" xr:uid="{7271A2D6-F3FA-4C1E-901B-3CCEF83A471D}"/>
    <cellStyle name="Normal 30 2 4 2 4" xfId="7166" xr:uid="{2B81AE10-CC0C-4E26-BEEE-70CBD22BEB49}"/>
    <cellStyle name="Normal 30 2 4 3" xfId="3047" xr:uid="{9B8AC3B1-F6B9-42B6-9E69-C492B4F51627}"/>
    <cellStyle name="Normal 30 2 4 3 2" xfId="5471" xr:uid="{57626183-9E40-46C5-A2E7-2F08F4E480E3}"/>
    <cellStyle name="Normal 30 2 4 3 2 2" xfId="10039" xr:uid="{B363279E-9041-4DB8-B94C-ABA7D9536016}"/>
    <cellStyle name="Normal 30 2 4 3 3" xfId="7747" xr:uid="{5878875B-2B8D-4A3B-A2D3-2DFEACB24AF1}"/>
    <cellStyle name="Normal 30 2 4 4" xfId="4462" xr:uid="{24CA0B91-2A8C-4B1E-90C8-6078A4510B0B}"/>
    <cellStyle name="Normal 30 2 4 4 2" xfId="9030" xr:uid="{FDCD1961-4558-4CD2-BF74-ECB06E48C6DC}"/>
    <cellStyle name="Normal 30 2 4 5" xfId="6738" xr:uid="{C2605860-B923-4C3E-8547-D98F7DC03B71}"/>
    <cellStyle name="Normal 30 2 5" xfId="1945" xr:uid="{E924E2D9-0860-4475-8DF9-CC40A06D5AEC}"/>
    <cellStyle name="Normal 30 2 5 2" xfId="2484" xr:uid="{6836915D-C82F-4AB3-8601-76C423E6998B}"/>
    <cellStyle name="Normal 30 2 5 2 2" xfId="3495" xr:uid="{2F56C94B-76A9-4A79-9254-339A4284A1FD}"/>
    <cellStyle name="Normal 30 2 5 2 2 2" xfId="5919" xr:uid="{B04BFF7B-5915-4746-9C98-DA3F77CC642B}"/>
    <cellStyle name="Normal 30 2 5 2 2 2 2" xfId="10487" xr:uid="{9346DD2A-731B-4CA1-86A2-88CAD037CACD}"/>
    <cellStyle name="Normal 30 2 5 2 2 3" xfId="8195" xr:uid="{35578946-747E-4074-9FD7-85C3242D5C59}"/>
    <cellStyle name="Normal 30 2 5 2 3" xfId="4910" xr:uid="{2CDCB6E5-AA3C-4D49-9F43-A3126B117E95}"/>
    <cellStyle name="Normal 30 2 5 2 3 2" xfId="9478" xr:uid="{0BB9BE87-EBED-4078-AD58-B1681A4F8AA3}"/>
    <cellStyle name="Normal 30 2 5 2 4" xfId="7186" xr:uid="{D555C4B5-5007-4759-9730-3F76ED0ED1DD}"/>
    <cellStyle name="Normal 30 2 5 3" xfId="3067" xr:uid="{44B64F1C-A6BB-4BE8-B764-D7BFC27E00ED}"/>
    <cellStyle name="Normal 30 2 5 3 2" xfId="5491" xr:uid="{01C21E5C-760D-4D32-86FF-B03AFFF6DC23}"/>
    <cellStyle name="Normal 30 2 5 3 2 2" xfId="10059" xr:uid="{74307852-7306-4C6E-9D76-5E649B847E6C}"/>
    <cellStyle name="Normal 30 2 5 3 3" xfId="7767" xr:uid="{CF1F3179-2E8C-47E8-97AD-D2B87225A872}"/>
    <cellStyle name="Normal 30 2 5 4" xfId="4482" xr:uid="{88E18AE6-1FA2-4FE0-903E-407A3B5880B2}"/>
    <cellStyle name="Normal 30 2 5 4 2" xfId="9050" xr:uid="{28978316-C11F-46CB-B301-43AF0F0A55DD}"/>
    <cellStyle name="Normal 30 2 5 5" xfId="6758" xr:uid="{FD688AA7-777E-4AEC-8425-B11415CCA31F}"/>
    <cellStyle name="Normal 30 2 6" xfId="1951" xr:uid="{AFF42A4D-CBEB-4EE8-BB23-509A548ACC80}"/>
    <cellStyle name="Normal 30 2 6 2" xfId="2489" xr:uid="{F6329992-6132-4933-A290-3083115DC2E9}"/>
    <cellStyle name="Normal 30 2 6 2 2" xfId="3500" xr:uid="{6FC725F0-C382-4D75-A8DA-26CD763CB483}"/>
    <cellStyle name="Normal 30 2 6 2 2 2" xfId="5924" xr:uid="{2A5CB3E8-D8CA-440B-9E83-B4ED610CAFD1}"/>
    <cellStyle name="Normal 30 2 6 2 2 2 2" xfId="10492" xr:uid="{FDA423DD-7298-44A5-9F7F-AC15A5797787}"/>
    <cellStyle name="Normal 30 2 6 2 2 3" xfId="8200" xr:uid="{A2D159C0-FAB4-43B1-B197-396B639F88FF}"/>
    <cellStyle name="Normal 30 2 6 2 3" xfId="4915" xr:uid="{C92FA4DD-7523-40FD-8E75-7E97517E5966}"/>
    <cellStyle name="Normal 30 2 6 2 3 2" xfId="9483" xr:uid="{C0971D99-5C50-4412-B62F-1E34AC9BE0F1}"/>
    <cellStyle name="Normal 30 2 6 2 4" xfId="7191" xr:uid="{2154E3F3-5608-4274-BB85-2755CD12A99B}"/>
    <cellStyle name="Normal 30 2 6 3" xfId="3072" xr:uid="{754BBEB8-087B-4167-91FD-17459F0839B3}"/>
    <cellStyle name="Normal 30 2 6 3 2" xfId="5496" xr:uid="{9E4CBE5E-00D4-4B34-9408-382DDDF4C0A2}"/>
    <cellStyle name="Normal 30 2 6 3 2 2" xfId="10064" xr:uid="{71CEC8DF-58CB-49B6-839D-AA1A824584FE}"/>
    <cellStyle name="Normal 30 2 6 3 3" xfId="7772" xr:uid="{FBC9A255-F665-4712-A682-F81A13CF4598}"/>
    <cellStyle name="Normal 30 2 6 4" xfId="4487" xr:uid="{F659DD17-1423-48CC-92F5-DB7A660FAB93}"/>
    <cellStyle name="Normal 30 2 6 4 2" xfId="9055" xr:uid="{D906EEC0-8774-4817-BDDE-4030118E67B1}"/>
    <cellStyle name="Normal 30 2 6 5" xfId="6763" xr:uid="{A39AC9D6-F4E5-41B9-A42E-A5D1FCB18D26}"/>
    <cellStyle name="Normal 30 2 7" xfId="1953" xr:uid="{086FA40A-5D61-41A1-9B89-6F0CB961DDC9}"/>
    <cellStyle name="Normal 30 2 7 2" xfId="2491" xr:uid="{2891FCB9-E2B8-4DB8-9D0A-D6D21FB00196}"/>
    <cellStyle name="Normal 30 2 7 2 2" xfId="3502" xr:uid="{D4CA2A86-F528-4F9D-A72C-BA77F06131EA}"/>
    <cellStyle name="Normal 30 2 7 2 2 2" xfId="5926" xr:uid="{3D49AC7D-D950-4F8C-B875-1ACDE931FA73}"/>
    <cellStyle name="Normal 30 2 7 2 2 2 2" xfId="10494" xr:uid="{D86AC072-AD4F-48EC-8E61-534DB026BF02}"/>
    <cellStyle name="Normal 30 2 7 2 2 3" xfId="8202" xr:uid="{25285377-F9FB-47FA-B81D-D2EAD85BE231}"/>
    <cellStyle name="Normal 30 2 7 2 3" xfId="4917" xr:uid="{704CC299-BD0F-42BC-B4F1-7AA7CA8CF8B6}"/>
    <cellStyle name="Normal 30 2 7 2 3 2" xfId="9485" xr:uid="{F6FCC7C7-07F8-4122-89F8-AA2C7A74C269}"/>
    <cellStyle name="Normal 30 2 7 2 4" xfId="7193" xr:uid="{D25FEC4D-192B-4277-B74D-EA07DB3799A5}"/>
    <cellStyle name="Normal 30 2 7 3" xfId="3074" xr:uid="{76DE93CF-7850-46C3-B810-7BEC4B9F2BAD}"/>
    <cellStyle name="Normal 30 2 7 3 2" xfId="5498" xr:uid="{130FBCF2-D3C4-450F-8DE7-89932F1247E1}"/>
    <cellStyle name="Normal 30 2 7 3 2 2" xfId="10066" xr:uid="{85CA16B6-4CE6-4BF6-9730-6C38AF94F319}"/>
    <cellStyle name="Normal 30 2 7 3 3" xfId="7774" xr:uid="{1B76490F-BEE6-4377-9202-24256B4C6032}"/>
    <cellStyle name="Normal 30 2 7 4" xfId="4489" xr:uid="{AA9449B3-2590-46CF-A050-A652529DA8AC}"/>
    <cellStyle name="Normal 30 2 7 4 2" xfId="9057" xr:uid="{907C68C8-F486-4678-86AF-EC7B4FE1A3B1}"/>
    <cellStyle name="Normal 30 2 7 5" xfId="6765" xr:uid="{7249F99B-9703-4C28-A085-EF4BD75BBC93}"/>
    <cellStyle name="Normal 30 2 8" xfId="1957" xr:uid="{412449CE-2F5C-4DFC-B69D-4787F2E89B95}"/>
    <cellStyle name="Normal 30 2 8 2" xfId="2494" xr:uid="{146A5B87-FEE2-464A-8054-9F52D7C6C7E2}"/>
    <cellStyle name="Normal 30 2 8 2 2" xfId="3505" xr:uid="{54F71BCB-326C-40CF-9A2C-EA5B9EC4B0AA}"/>
    <cellStyle name="Normal 30 2 8 2 2 2" xfId="5929" xr:uid="{26E434E3-B5D5-477F-BA9D-6BD0DF92116B}"/>
    <cellStyle name="Normal 30 2 8 2 2 2 2" xfId="10497" xr:uid="{4463712E-16CB-487C-A40D-FB8F2B5B4627}"/>
    <cellStyle name="Normal 30 2 8 2 2 3" xfId="8205" xr:uid="{97650BDA-F2D8-49E9-9E37-E21DB48C78F3}"/>
    <cellStyle name="Normal 30 2 8 2 3" xfId="4920" xr:uid="{65158A44-9C4B-4A20-8375-3D4B73163C3B}"/>
    <cellStyle name="Normal 30 2 8 2 3 2" xfId="9488" xr:uid="{76C432C8-8D7B-48EE-809B-3CA0025E57DF}"/>
    <cellStyle name="Normal 30 2 8 2 4" xfId="7196" xr:uid="{907DB1B1-4896-46A9-9638-5403FB73391A}"/>
    <cellStyle name="Normal 30 2 8 3" xfId="3077" xr:uid="{E360A185-241B-4F55-AA98-F02CBC62CECC}"/>
    <cellStyle name="Normal 30 2 8 3 2" xfId="5501" xr:uid="{99073C93-C4BD-4C1F-868F-3073D8AD8C4C}"/>
    <cellStyle name="Normal 30 2 8 3 2 2" xfId="10069" xr:uid="{FD8E02F0-FF6C-43FD-AF3B-2EAFEFB6EDDE}"/>
    <cellStyle name="Normal 30 2 8 3 3" xfId="7777" xr:uid="{6C6F6822-B59E-4100-94AD-E35CC9DED3A6}"/>
    <cellStyle name="Normal 30 2 8 4" xfId="4492" xr:uid="{607281D3-B6E9-49D5-B02D-BA1E25585AD8}"/>
    <cellStyle name="Normal 30 2 8 4 2" xfId="9060" xr:uid="{B0D45881-0102-4CF9-AB7D-46283EC9253A}"/>
    <cellStyle name="Normal 30 2 8 5" xfId="6768" xr:uid="{90503EBF-C26F-4521-8DA6-DEC22A651DA5}"/>
    <cellStyle name="Normal 30 2 9" xfId="1965" xr:uid="{FEFEC336-DA46-49A5-BA8A-091EDF0E385B}"/>
    <cellStyle name="Normal 30 2 9 2" xfId="2502" xr:uid="{F804797B-8967-4C1E-8B4C-5337640BF566}"/>
    <cellStyle name="Normal 30 2 9 2 2" xfId="3513" xr:uid="{053A4EBA-EF2F-4B4E-BAA1-DC13E8D7226A}"/>
    <cellStyle name="Normal 30 2 9 2 2 2" xfId="5937" xr:uid="{201C29CD-9427-434C-8225-61B495F1D6BC}"/>
    <cellStyle name="Normal 30 2 9 2 2 2 2" xfId="10505" xr:uid="{1D9AB043-5ACE-48F4-9DF2-8C40E3C2436A}"/>
    <cellStyle name="Normal 30 2 9 2 2 3" xfId="8213" xr:uid="{F4CB91AC-3B0D-4D18-A885-4FB9EE621CFA}"/>
    <cellStyle name="Normal 30 2 9 2 3" xfId="4928" xr:uid="{815F0000-7A9D-460D-8443-2F26EEA2A369}"/>
    <cellStyle name="Normal 30 2 9 2 3 2" xfId="9496" xr:uid="{9AAA0754-A4F1-46EA-8179-C5A6EF925C9A}"/>
    <cellStyle name="Normal 30 2 9 2 4" xfId="7204" xr:uid="{C7B0CA12-937B-4649-8D6D-5AAE2BF077D0}"/>
    <cellStyle name="Normal 30 2 9 3" xfId="3085" xr:uid="{45358A62-D74B-402D-B8EA-A6435E36ACAA}"/>
    <cellStyle name="Normal 30 2 9 3 2" xfId="5509" xr:uid="{5983364C-E117-49BA-BC43-718AD47EEA64}"/>
    <cellStyle name="Normal 30 2 9 3 2 2" xfId="10077" xr:uid="{6B3DB3C9-A190-4F79-A17E-ECB2459B5739}"/>
    <cellStyle name="Normal 30 2 9 3 3" xfId="7785" xr:uid="{4F6672F1-AA78-4BCC-9202-9F7D1E56365F}"/>
    <cellStyle name="Normal 30 2 9 4" xfId="4500" xr:uid="{06EE8778-F189-4516-84A6-C0CB89D3F2EC}"/>
    <cellStyle name="Normal 30 2 9 4 2" xfId="9068" xr:uid="{622C05E8-734D-4C6B-8997-55B08976ED04}"/>
    <cellStyle name="Normal 30 2 9 5" xfId="6776" xr:uid="{B7CE13CC-CECC-48D9-87C6-E96638403492}"/>
    <cellStyle name="Normal 30 3" xfId="1920" xr:uid="{4C293CE7-8625-4AF8-8E78-6D4C08E5F81F}"/>
    <cellStyle name="Normal 30 3 2" xfId="2462" xr:uid="{09C8DEB1-012C-4F0B-925F-114675478456}"/>
    <cellStyle name="Normal 30 3 2 2" xfId="3473" xr:uid="{DB2563EA-AF8E-4A54-A8F9-2BEF03CB5483}"/>
    <cellStyle name="Normal 30 3 2 2 2" xfId="5897" xr:uid="{F60AD40E-8815-4432-A293-3C254F824DD7}"/>
    <cellStyle name="Normal 30 3 2 2 2 2" xfId="10465" xr:uid="{71DBB6C9-1738-4865-B187-A89D73AB2F71}"/>
    <cellStyle name="Normal 30 3 2 2 3" xfId="8173" xr:uid="{83D1EB08-4DCE-4E24-A248-F69C9A1F9654}"/>
    <cellStyle name="Normal 30 3 2 3" xfId="4888" xr:uid="{F8718A6F-F0F1-44CE-AC92-2993D855EFAA}"/>
    <cellStyle name="Normal 30 3 2 3 2" xfId="9456" xr:uid="{F1C0BF85-3374-432B-B71C-ADE25BCEFE0F}"/>
    <cellStyle name="Normal 30 3 2 4" xfId="7164" xr:uid="{EF7914D5-9606-44FC-B2D6-041C44648010}"/>
    <cellStyle name="Normal 30 3 3" xfId="3045" xr:uid="{A1ECCF04-B6AD-4221-A1BF-EC52ED73AD10}"/>
    <cellStyle name="Normal 30 3 3 2" xfId="5469" xr:uid="{35D3CE3B-A410-4B5F-8B7D-2EA8C5359A41}"/>
    <cellStyle name="Normal 30 3 3 2 2" xfId="10037" xr:uid="{57A1A5F4-CF38-4077-B601-EB369C172F8D}"/>
    <cellStyle name="Normal 30 3 3 3" xfId="7745" xr:uid="{B7716F15-5CED-4E08-854B-9BD6133436DC}"/>
    <cellStyle name="Normal 30 3 4" xfId="4460" xr:uid="{A34E060B-F5C6-488E-9F6F-B9AD996DBE99}"/>
    <cellStyle name="Normal 30 3 4 2" xfId="9028" xr:uid="{B4BF320A-99B8-4672-8867-539A34522712}"/>
    <cellStyle name="Normal 30 3 5" xfId="6736" xr:uid="{1E10C307-EEC6-4B67-96F2-2C5C944AAF0C}"/>
    <cellStyle name="Normal 30 4" xfId="2275" xr:uid="{0E5099ED-D715-4F52-9158-DA002DAF67A0}"/>
    <cellStyle name="Normal 30 4 2" xfId="3286" xr:uid="{0282898E-A996-40A0-93CE-AFF0BA93252A}"/>
    <cellStyle name="Normal 30 4 2 2" xfId="5710" xr:uid="{87C192C8-5764-44A7-B761-FEA3B03B7416}"/>
    <cellStyle name="Normal 30 4 2 2 2" xfId="10278" xr:uid="{67D426FF-3F0A-499E-B42C-E6090CF4D69F}"/>
    <cellStyle name="Normal 30 4 2 3" xfId="7986" xr:uid="{6C34F18F-09F7-4F0D-A7C7-7A42162DFBCD}"/>
    <cellStyle name="Normal 30 4 3" xfId="4701" xr:uid="{AC2C8358-CD0F-4F2A-B57F-6028FBF18D35}"/>
    <cellStyle name="Normal 30 4 3 2" xfId="9269" xr:uid="{B8691482-E95E-4EB6-8F5E-A4E544C304C2}"/>
    <cellStyle name="Normal 30 4 4" xfId="6977" xr:uid="{89DE008F-0401-44FD-A5F0-4666641F503C}"/>
    <cellStyle name="Normal 30 5" xfId="2858" xr:uid="{C6C3F32F-95CE-4650-8900-560343BE5802}"/>
    <cellStyle name="Normal 30 5 2" xfId="5282" xr:uid="{747A4EC2-8E32-48C6-9208-7ED472260697}"/>
    <cellStyle name="Normal 30 5 2 2" xfId="9850" xr:uid="{341F6D01-EB0B-44F9-BF26-88A7136ED177}"/>
    <cellStyle name="Normal 30 5 3" xfId="7558" xr:uid="{8F6905F8-1ED4-4313-9309-9FE4CE45F5DA}"/>
    <cellStyle name="Normal 30 6" xfId="4273" xr:uid="{30D4F0D2-ACA1-4B2D-9364-BD6F67EC4CA6}"/>
    <cellStyle name="Normal 30 6 2" xfId="8841" xr:uid="{2BF2FEF3-4D46-4632-B409-CF7C67A61676}"/>
    <cellStyle name="Normal 30 7" xfId="6549" xr:uid="{8FB579A5-E84F-42B7-BD00-E9C7E84042B3}"/>
    <cellStyle name="Normal 30 8" xfId="1630" xr:uid="{D0716E18-C793-498B-BC3F-E792ACBA78E8}"/>
    <cellStyle name="Normal 31" xfId="990" xr:uid="{00000000-0005-0000-0000-0000B5030000}"/>
    <cellStyle name="Normal 31 2" xfId="1995" xr:uid="{8A6ACA99-0459-4E66-A178-F5893F07F3DF}"/>
    <cellStyle name="Normal 32" xfId="994" xr:uid="{00000000-0005-0000-0000-0000B6030000}"/>
    <cellStyle name="Normal 32 2" xfId="2655" xr:uid="{5963D54B-415C-48F0-B55B-8939F838ABC3}"/>
    <cellStyle name="Normal 32 2 2" xfId="2660" xr:uid="{7BB10397-AA3A-4C90-9BBD-B432A7A8A84E}"/>
    <cellStyle name="Normal 32 2 2 2" xfId="3965" xr:uid="{E5DF0F2D-1ED8-4E97-BC49-77EC85872AFD}"/>
    <cellStyle name="Normal 32 2 2 2 2" xfId="3997" xr:uid="{211DA64D-FDD2-47D8-AC29-F796DA71B63C}"/>
    <cellStyle name="Normal 32 2 2 2 2 2" xfId="6291" xr:uid="{C396E2F5-9C46-4FBA-9A99-9649E8C33C9A}"/>
    <cellStyle name="Normal 32 2 2 2 2 2 2" xfId="10859" xr:uid="{7748C407-D30F-4D66-AC91-0288930A7E61}"/>
    <cellStyle name="Normal 32 2 2 2 2 3" xfId="6303" xr:uid="{1B095E4F-3F1D-426B-9120-15C2970E9F21}"/>
    <cellStyle name="Normal 32 2 2 2 2 3 2" xfId="6315" xr:uid="{D9CEFEA7-4F2D-4A0C-9B42-E5F33F31CC20}"/>
    <cellStyle name="Normal 32 2 2 2 2 3 2 2" xfId="6322" xr:uid="{DCDD75C0-5054-4909-B517-51309DEA4675}"/>
    <cellStyle name="Normal 32 2 2 2 2 3 2 2 2" xfId="6341" xr:uid="{C321DB3D-8DD5-45F2-B64B-CDFF288CE94E}"/>
    <cellStyle name="Normal 32 2 2 2 2 3 2 2 2 2" xfId="6343" xr:uid="{DA448223-B184-48D0-878B-D89B9F950B0E}"/>
    <cellStyle name="Normal 32 2 2 2 2 3 2 2 2 2 2" xfId="6355" xr:uid="{C2077015-79E8-4A80-9545-23FC71071763}"/>
    <cellStyle name="Normal 32 2 2 2 2 3 2 2 2 2 2 2" xfId="6366" xr:uid="{E0AFB117-7B4F-45EC-9618-84136BA63C3F}"/>
    <cellStyle name="Normal 32 2 2 2 2 3 2 2 2 2 2 2 2" xfId="6368" xr:uid="{5FE7D320-4B06-43FA-A997-BA0E5FCB757B}"/>
    <cellStyle name="Normal 32 2 2 2 2 3 2 2 2 2 2 2 2 2" xfId="6374" xr:uid="{CAFE09AB-C176-437A-A12B-308690F0F393}"/>
    <cellStyle name="Normal 32 2 2 2 2 3 2 2 2 2 2 2 2 2 2" xfId="10941" xr:uid="{7D60D945-8F39-43E3-868C-A55AF67706EF}"/>
    <cellStyle name="Normal 32 2 2 2 2 3 2 2 2 2 2 2 2 3" xfId="10935" xr:uid="{8602CD55-55EE-4E66-8D63-D7D64A870F46}"/>
    <cellStyle name="Normal 32 2 2 2 2 3 2 2 2 2 2 2 3" xfId="10933" xr:uid="{CA5E43EC-7C30-4559-AEDF-4A0CC9BCB66D}"/>
    <cellStyle name="Normal 32 2 2 2 2 3 2 2 2 2 2 3" xfId="10922" xr:uid="{C9AED638-C3E7-4F75-8DCC-7D45683EC871}"/>
    <cellStyle name="Normal 32 2 2 2 2 3 2 2 2 2 3" xfId="10910" xr:uid="{1F952996-5289-4B96-8F4F-DE1C8D4D82C2}"/>
    <cellStyle name="Normal 32 2 2 2 2 3 2 2 2 3" xfId="10908" xr:uid="{0CD7E1BF-A39C-449C-8FC5-368767438E35}"/>
    <cellStyle name="Normal 32 2 2 2 2 3 2 2 3" xfId="10890" xr:uid="{5F107D0A-543F-4D07-B9A5-4A4CBD5CE015}"/>
    <cellStyle name="Normal 32 2 2 2 2 3 2 3" xfId="10883" xr:uid="{8AECB3D1-059B-4B20-A650-ECB41BED9387}"/>
    <cellStyle name="Normal 32 2 2 2 2 3 3" xfId="10871" xr:uid="{02608D6C-C523-420F-9A4B-F54543D377E0}"/>
    <cellStyle name="Normal 32 2 2 2 2 4" xfId="8567" xr:uid="{88457866-EF89-4BAE-B565-E7B30A8AF74F}"/>
    <cellStyle name="Normal 32 2 2 2 3" xfId="6259" xr:uid="{50EFB21E-CE3F-48CA-BBAC-D967809F1956}"/>
    <cellStyle name="Normal 32 2 2 2 3 2" xfId="10827" xr:uid="{A77778CB-4033-4650-9B56-0E01D7F85D2C}"/>
    <cellStyle name="Normal 32 2 2 2 4" xfId="8535" xr:uid="{FA5D62D0-479C-4D9E-892B-DDA54204A087}"/>
    <cellStyle name="Normal 32 2 2 3" xfId="5086" xr:uid="{3891A061-452A-47DB-93FF-3BB5A85A2E5D}"/>
    <cellStyle name="Normal 32 2 2 3 2" xfId="9654" xr:uid="{89D038B4-81EF-440B-9215-528D68814868}"/>
    <cellStyle name="Normal 32 2 2 4" xfId="7362" xr:uid="{D4468075-4E3A-4942-B7AF-A6B7AB649383}"/>
    <cellStyle name="Normal 32 2 3" xfId="5081" xr:uid="{43629742-228B-472D-A2DD-2FDC2884E9EF}"/>
    <cellStyle name="Normal 32 2 3 2" xfId="9649" xr:uid="{CEFE2C13-4C38-49B6-A548-1CFAAA9EC754}"/>
    <cellStyle name="Normal 32 2 4" xfId="7357" xr:uid="{7817DB7E-DEBD-4939-8AB9-1CD858641F8F}"/>
    <cellStyle name="Normal 32 3" xfId="3575" xr:uid="{BE4FF6E7-6E88-4E50-984E-AB0F6BD5094A}"/>
    <cellStyle name="Normal 32 4" xfId="5019" xr:uid="{F6F7F917-F2FB-4F36-920F-3A0B048B48D8}"/>
    <cellStyle name="Normal 32 4 2" xfId="9587" xr:uid="{9292B69A-2372-4FE7-BB20-70FD0331D458}"/>
    <cellStyle name="Normal 32 5" xfId="7295" xr:uid="{B378ABD3-84E9-472C-8CC1-DB9B8786872E}"/>
    <cellStyle name="Normal 32 6" xfId="2593" xr:uid="{C6D4EFE0-C05D-41F8-BA11-4B1344236892}"/>
    <cellStyle name="Normal 33" xfId="1036" xr:uid="{00000000-0005-0000-0000-0000B7030000}"/>
    <cellStyle name="Normal 33 2" xfId="3593" xr:uid="{E9D9E0D4-7A99-4020-9001-EA24E8B88169}"/>
    <cellStyle name="Normal 33 3" xfId="5021" xr:uid="{6077B9BC-2873-43C0-B3D6-E0E7EB0A6BF9}"/>
    <cellStyle name="Normal 33 3 2" xfId="9589" xr:uid="{4986974C-74EB-4CF6-9996-2794C645F867}"/>
    <cellStyle name="Normal 33 4" xfId="7297" xr:uid="{2D5F2296-F46E-427D-8602-8FF821EEEEC3}"/>
    <cellStyle name="Normal 33 5" xfId="2595" xr:uid="{DB7B411F-D189-4331-9674-32BCC99F6362}"/>
    <cellStyle name="Normal 34" xfId="1052" xr:uid="{00000000-0005-0000-0000-0000B8030000}"/>
    <cellStyle name="Normal 34 2" xfId="3653" xr:uid="{5C100016-3357-45C6-ABE8-A5B61D77E1AB}"/>
    <cellStyle name="Normal 34 3" xfId="5022" xr:uid="{079E6890-3AC4-4D5A-86EE-4F634378A9E5}"/>
    <cellStyle name="Normal 34 3 2" xfId="9590" xr:uid="{0F0ADDEF-ED49-45BF-B773-A1E6BD4C29D9}"/>
    <cellStyle name="Normal 34 4" xfId="7298" xr:uid="{CA104FAA-0341-4ABF-BD12-4EC74ACF6664}"/>
    <cellStyle name="Normal 34 5" xfId="2596" xr:uid="{20699CB3-3A24-4627-8007-2611F7ABB8BE}"/>
    <cellStyle name="Normal 35" xfId="1067" xr:uid="{00000000-0005-0000-0000-0000B9030000}"/>
    <cellStyle name="Normal 35 2" xfId="5023" xr:uid="{A794F44F-6C82-4ADF-9EB7-1BD11879D84A}"/>
    <cellStyle name="Normal 35 2 2" xfId="9591" xr:uid="{A25E8BEC-937A-473B-AF19-8FC3488C27C9}"/>
    <cellStyle name="Normal 35 3" xfId="7299" xr:uid="{57CB5332-CF43-434C-A13B-41F23B4FA88D}"/>
    <cellStyle name="Normal 35 4" xfId="2597" xr:uid="{39E4F017-153E-4BDA-A2BD-6DE46AE778BA}"/>
    <cellStyle name="Normal 36" xfId="1070" xr:uid="{00000000-0005-0000-0000-0000BA030000}"/>
    <cellStyle name="Normal 36 2" xfId="5028" xr:uid="{F340215B-0743-4366-8228-FDC9A7E59A7B}"/>
    <cellStyle name="Normal 36 2 2" xfId="9596" xr:uid="{BBF315CC-7502-409F-ACB9-75AB44CF7C13}"/>
    <cellStyle name="Normal 36 3" xfId="7304" xr:uid="{E574038D-FBA6-4778-911A-4236BA0DC2D0}"/>
    <cellStyle name="Normal 36 4" xfId="2602" xr:uid="{CDFBA5D1-43A1-44AC-8283-52BEFE244CF3}"/>
    <cellStyle name="Normal 37" xfId="1081" xr:uid="{00000000-0005-0000-0000-0000BB030000}"/>
    <cellStyle name="Normal 37 2" xfId="5034" xr:uid="{1B292194-611C-4B8F-81C9-5D4C53551E06}"/>
    <cellStyle name="Normal 37 2 2" xfId="9602" xr:uid="{05DD1425-318F-46A0-86A8-0B19CE5F4C48}"/>
    <cellStyle name="Normal 37 3" xfId="7310" xr:uid="{D94338E3-D757-4282-87FC-EF80F349569C}"/>
    <cellStyle name="Normal 37 4" xfId="2608" xr:uid="{80979716-28BA-4069-9BCB-5BA39C2C340D}"/>
    <cellStyle name="Normal 38" xfId="1092" xr:uid="{00000000-0005-0000-0000-0000BC030000}"/>
    <cellStyle name="Normal 38 2" xfId="5029" xr:uid="{5F8708D5-94AC-4935-B8AD-D3CC9A9E362D}"/>
    <cellStyle name="Normal 38 2 2" xfId="9597" xr:uid="{741F14DC-67AB-4302-8CB0-FD77F76F1159}"/>
    <cellStyle name="Normal 38 3" xfId="7305" xr:uid="{2E677F23-0002-44C5-8836-62BA75883E80}"/>
    <cellStyle name="Normal 38 4" xfId="2603" xr:uid="{8AF72A16-91E5-4CE4-AC35-C449A66AD25B}"/>
    <cellStyle name="Normal 39" xfId="1094" xr:uid="{00000000-0005-0000-0000-0000BD030000}"/>
    <cellStyle name="Normal 39 2" xfId="5035" xr:uid="{99E19D9F-BCCD-47A9-AD19-112F6DD8B4E1}"/>
    <cellStyle name="Normal 39 2 2" xfId="9603" xr:uid="{05D83453-61FD-4C04-A568-273DDC94E052}"/>
    <cellStyle name="Normal 39 3" xfId="7311" xr:uid="{2457F2FB-8383-4815-89CB-187587C033FD}"/>
    <cellStyle name="Normal 39 4" xfId="2609" xr:uid="{8137621A-5251-4587-A25A-BDF7C78E3D06}"/>
    <cellStyle name="Normal 4" xfId="658" xr:uid="{00000000-0005-0000-0000-0000BE030000}"/>
    <cellStyle name="Normal 40" xfId="1096" xr:uid="{00000000-0005-0000-0000-0000BF030000}"/>
    <cellStyle name="Normal 40 2" xfId="5033" xr:uid="{568CDF7D-EDD2-465A-99A9-7060F9471216}"/>
    <cellStyle name="Normal 40 2 2" xfId="9601" xr:uid="{DEA35511-2102-46F0-852E-54A138B93F6F}"/>
    <cellStyle name="Normal 40 3" xfId="7309" xr:uid="{E530C798-D119-4B6A-917D-0C9A16FB8C99}"/>
    <cellStyle name="Normal 40 4" xfId="2607" xr:uid="{7E59AA86-EB2C-4EF8-8A7A-2574157CBF00}"/>
    <cellStyle name="Normal 41" xfId="1105" xr:uid="{00000000-0005-0000-0000-0000C0030000}"/>
    <cellStyle name="Normal 41 2" xfId="5032" xr:uid="{49979B07-D66E-4343-ADBB-9A1EC40A2D5F}"/>
    <cellStyle name="Normal 41 2 2" xfId="9600" xr:uid="{8C411A37-AF94-4642-9EAB-79926A99C195}"/>
    <cellStyle name="Normal 41 3" xfId="7308" xr:uid="{18F2501E-2C9F-4289-A2B2-A9204D08D372}"/>
    <cellStyle name="Normal 41 4" xfId="2606" xr:uid="{EC780A25-8D8A-40E4-A770-7A222E42F153}"/>
    <cellStyle name="Normal 42" xfId="1113" xr:uid="{00000000-0005-0000-0000-0000C1030000}"/>
    <cellStyle name="Normal 42 2" xfId="5036" xr:uid="{6E0E0C11-63F6-42FE-B7BF-CEF7F8B725D9}"/>
    <cellStyle name="Normal 42 2 2" xfId="9604" xr:uid="{2D3D036A-6E86-4769-A628-7782CB62E294}"/>
    <cellStyle name="Normal 42 3" xfId="7312" xr:uid="{FE59B9CC-D7D7-4612-9E07-30A3EFA66E8C}"/>
    <cellStyle name="Normal 42 4" xfId="2610" xr:uid="{B2620252-89E2-4CA6-BB6B-C69E117236AF}"/>
    <cellStyle name="Normal 43" xfId="1119" xr:uid="{00000000-0005-0000-0000-0000C2030000}"/>
    <cellStyle name="Normal 43 2" xfId="5037" xr:uid="{65842C46-C5E3-4F79-8738-3C91DFCC1492}"/>
    <cellStyle name="Normal 43 2 2" xfId="9605" xr:uid="{6E67006A-2CE2-4C93-A500-FA6289D9F105}"/>
    <cellStyle name="Normal 43 3" xfId="7313" xr:uid="{E375C134-4592-4126-87D5-8935882BA2D8}"/>
    <cellStyle name="Normal 43 4" xfId="2611" xr:uid="{1F3CF974-6008-4D5D-BA3A-66214500222F}"/>
    <cellStyle name="Normal 44" xfId="1131" xr:uid="{00000000-0005-0000-0000-0000C3030000}"/>
    <cellStyle name="Normal 44 2" xfId="5038" xr:uid="{3B8802F5-413A-47DE-8096-CC121145A1F8}"/>
    <cellStyle name="Normal 44 2 2" xfId="9606" xr:uid="{9F878800-833C-4FC6-B13A-9B80839DA49F}"/>
    <cellStyle name="Normal 44 3" xfId="7314" xr:uid="{AA52DB5A-2FE7-4EFD-ACDF-D132C06000C3}"/>
    <cellStyle name="Normal 44 4" xfId="2612" xr:uid="{13DACE69-E316-43E8-951C-D2EDEDA1EB81}"/>
    <cellStyle name="Normal 45" xfId="1140" xr:uid="{00000000-0005-0000-0000-0000C4030000}"/>
    <cellStyle name="Normal 45 2" xfId="5039" xr:uid="{D9713C88-F867-4927-A8F1-5C7A30464C65}"/>
    <cellStyle name="Normal 45 2 2" xfId="9607" xr:uid="{865B8ADD-0CE3-47D0-92CB-0E1E1439BEFF}"/>
    <cellStyle name="Normal 45 3" xfId="7315" xr:uid="{59860589-A6ED-4FC2-8E41-C9631CFD9937}"/>
    <cellStyle name="Normal 45 4" xfId="2613" xr:uid="{95A5E94B-640F-414B-80E3-1C387F391244}"/>
    <cellStyle name="Normal 46" xfId="1150" xr:uid="{00000000-0005-0000-0000-0000C5030000}"/>
    <cellStyle name="Normal 46 2" xfId="5040" xr:uid="{FCA65AA0-3D87-4A52-82D1-A7DA7C8E6A79}"/>
    <cellStyle name="Normal 46 2 2" xfId="9608" xr:uid="{596EFB1A-75E4-4900-B307-8E86D6ADC0A0}"/>
    <cellStyle name="Normal 46 3" xfId="7316" xr:uid="{08AB9057-7435-4474-A2D1-DCA9CCE83DC1}"/>
    <cellStyle name="Normal 46 4" xfId="2614" xr:uid="{631D0902-5A93-4381-B32A-537E3F9591DD}"/>
    <cellStyle name="Normal 47" xfId="1159" xr:uid="{00000000-0005-0000-0000-0000C6030000}"/>
    <cellStyle name="Normal 47 2" xfId="5041" xr:uid="{E0632125-122E-4B3C-ADA3-AB641432DDC3}"/>
    <cellStyle name="Normal 47 2 2" xfId="9609" xr:uid="{EE65FF80-C463-4EFE-BC48-349A48C67DFC}"/>
    <cellStyle name="Normal 47 3" xfId="7317" xr:uid="{7230D40D-82BA-4B3C-983E-E4CEFA75B259}"/>
    <cellStyle name="Normal 47 4" xfId="2615" xr:uid="{4A25F209-6FFB-4377-ABE7-0890188656FA}"/>
    <cellStyle name="Normal 48" xfId="1167" xr:uid="{00000000-0005-0000-0000-0000C7030000}"/>
    <cellStyle name="Normal 48 2" xfId="5042" xr:uid="{07D0701E-40AB-4C6F-9AA4-9263061CCCFA}"/>
    <cellStyle name="Normal 48 2 2" xfId="9610" xr:uid="{503F0DFF-887A-478F-BFC3-9994ADC465E7}"/>
    <cellStyle name="Normal 48 3" xfId="7318" xr:uid="{6558F172-65A9-4DC1-BA37-FEFC600DF93C}"/>
    <cellStyle name="Normal 48 4" xfId="2616" xr:uid="{5CB49280-55DC-40F0-9A50-3F37FABB4D91}"/>
    <cellStyle name="Normal 49" xfId="1189" xr:uid="{00000000-0005-0000-0000-0000C8030000}"/>
    <cellStyle name="Normal 49 2" xfId="5043" xr:uid="{0274FF67-B9A3-4046-8629-F3280FAB516C}"/>
    <cellStyle name="Normal 49 2 2" xfId="9611" xr:uid="{924ADB9C-DFD6-4B02-A7CF-2F68061D753A}"/>
    <cellStyle name="Normal 49 3" xfId="7319" xr:uid="{A960A6B3-FD56-418F-A53A-E08AA79D6D1C}"/>
    <cellStyle name="Normal 49 4" xfId="2617" xr:uid="{23FCD475-42C7-4402-9B25-09C86FBB6886}"/>
    <cellStyle name="Normal 5" xfId="659" xr:uid="{00000000-0005-0000-0000-0000C9030000}"/>
    <cellStyle name="Normal 5 10" xfId="6486" xr:uid="{EB592CD6-4D0C-45C3-B059-8BF86F11BC99}"/>
    <cellStyle name="Normal 5 11" xfId="1566" xr:uid="{ED437C89-423F-4441-A2FD-DBFD2CC2BDFD}"/>
    <cellStyle name="Normal 5 2" xfId="660" xr:uid="{00000000-0005-0000-0000-0000CA030000}"/>
    <cellStyle name="Normal 5 2 2" xfId="661" xr:uid="{00000000-0005-0000-0000-0000CB030000}"/>
    <cellStyle name="Normal 5 2 2 2" xfId="1855" xr:uid="{1538C0E5-687D-48AC-BC07-AEB2F71CD85E}"/>
    <cellStyle name="Normal 5 2 2 2 2" xfId="2402" xr:uid="{76A7D62C-A44C-46A0-BFAF-3F74804557B0}"/>
    <cellStyle name="Normal 5 2 2 2 2 2" xfId="3413" xr:uid="{52CA6245-B49F-4CED-B7DD-A857B1531345}"/>
    <cellStyle name="Normal 5 2 2 2 2 2 2" xfId="5837" xr:uid="{325C6B3C-E1B5-449D-A948-B0FA358AC82E}"/>
    <cellStyle name="Normal 5 2 2 2 2 2 2 2" xfId="10405" xr:uid="{9602F383-CE48-418F-9F32-6A87ABD4D73D}"/>
    <cellStyle name="Normal 5 2 2 2 2 2 3" xfId="8113" xr:uid="{8B84826B-4A33-4372-9779-D2A84C8838C7}"/>
    <cellStyle name="Normal 5 2 2 2 2 3" xfId="4828" xr:uid="{FD754547-60B6-4568-AF26-8164504737DA}"/>
    <cellStyle name="Normal 5 2 2 2 2 3 2" xfId="9396" xr:uid="{FC42641B-CF80-469A-AABF-AD106CC9269D}"/>
    <cellStyle name="Normal 5 2 2 2 2 4" xfId="7104" xr:uid="{0B6EE40D-50C6-444D-A3D6-133D8EB43506}"/>
    <cellStyle name="Normal 5 2 2 2 3" xfId="2985" xr:uid="{4FC3877F-F009-46D5-8388-3794DD4D5ACB}"/>
    <cellStyle name="Normal 5 2 2 2 3 2" xfId="5409" xr:uid="{33C13F2D-8626-4A80-AE43-2C49B428D3E9}"/>
    <cellStyle name="Normal 5 2 2 2 3 2 2" xfId="9977" xr:uid="{9967DF28-B5EA-4C73-9816-C336BFDB55F8}"/>
    <cellStyle name="Normal 5 2 2 2 3 3" xfId="7685" xr:uid="{D519F849-772D-4E02-B856-16CC5817DB1E}"/>
    <cellStyle name="Normal 5 2 2 2 4" xfId="4400" xr:uid="{BD678A8E-67BD-4D28-A071-E1B8BE5D442C}"/>
    <cellStyle name="Normal 5 2 2 2 4 2" xfId="8968" xr:uid="{DBCF88A8-2D58-40E2-8FE0-B00809FCAB31}"/>
    <cellStyle name="Normal 5 2 2 2 5" xfId="6676" xr:uid="{C030E71F-4AC9-4575-9299-5E4A295EB82C}"/>
    <cellStyle name="Normal 5 2 2 3" xfId="2213" xr:uid="{0FC03F6E-2DDA-4D72-86A2-4BF17B558E86}"/>
    <cellStyle name="Normal 5 2 2 3 2" xfId="3226" xr:uid="{5B3256DB-D5AE-403D-8074-F56779BF850C}"/>
    <cellStyle name="Normal 5 2 2 3 2 2" xfId="5650" xr:uid="{84FDE378-6867-4711-97C0-E2F6569AED30}"/>
    <cellStyle name="Normal 5 2 2 3 2 2 2" xfId="10218" xr:uid="{DDF66F00-0A29-4DD9-9BD8-EEDB5281060F}"/>
    <cellStyle name="Normal 5 2 2 3 2 3" xfId="7926" xr:uid="{4E082F38-2553-49CE-809D-6B876EC0A0A3}"/>
    <cellStyle name="Normal 5 2 2 3 3" xfId="4641" xr:uid="{6B1096F5-F3C7-4793-ADA7-91C447465565}"/>
    <cellStyle name="Normal 5 2 2 3 3 2" xfId="9209" xr:uid="{95334C13-5A53-41AE-A60B-E06D6E845D0C}"/>
    <cellStyle name="Normal 5 2 2 3 4" xfId="6917" xr:uid="{FD9F8855-646E-4725-B71E-78D859FB5C4A}"/>
    <cellStyle name="Normal 5 2 2 4" xfId="2795" xr:uid="{BD390472-7703-4DCD-AE8A-204E1F337526}"/>
    <cellStyle name="Normal 5 2 2 4 2" xfId="5220" xr:uid="{8A7E9B58-6394-4645-B792-BAE54DD3BBA3}"/>
    <cellStyle name="Normal 5 2 2 4 2 2" xfId="9788" xr:uid="{3297E87D-9D6E-4784-90F1-4BE826652C57}"/>
    <cellStyle name="Normal 5 2 2 4 3" xfId="7496" xr:uid="{AD4A0AC4-D867-4756-B05C-BE52550A8887}"/>
    <cellStyle name="Normal 5 2 2 5" xfId="4210" xr:uid="{26B55952-EC19-4518-8D54-126783C10473}"/>
    <cellStyle name="Normal 5 2 2 5 2" xfId="8779" xr:uid="{350A30E8-D2C3-4B0B-92E7-9276096DD8C6}"/>
    <cellStyle name="Normal 5 2 2 6" xfId="6488" xr:uid="{2EA9D865-C2A4-468A-B822-CEB10606F2CA}"/>
    <cellStyle name="Normal 5 2 2 7" xfId="1568" xr:uid="{E301490C-0A1F-45E6-A2E1-CC7D3D5B7CC0}"/>
    <cellStyle name="Normal 5 2 3" xfId="1854" xr:uid="{0138F8D0-7AD3-4C10-BD3C-F3C6E6DCB985}"/>
    <cellStyle name="Normal 5 2 3 2" xfId="2401" xr:uid="{CE587FF3-6A60-4C68-864E-AA0AED656720}"/>
    <cellStyle name="Normal 5 2 3 2 2" xfId="3412" xr:uid="{F1395F07-7B6A-46FD-9731-E13B99A8AF9F}"/>
    <cellStyle name="Normal 5 2 3 2 2 2" xfId="5836" xr:uid="{569491F9-E453-450F-84D2-3A4F978CB2CC}"/>
    <cellStyle name="Normal 5 2 3 2 2 2 2" xfId="10404" xr:uid="{68FBAC83-BE8C-492C-9404-EEFC2F261414}"/>
    <cellStyle name="Normal 5 2 3 2 2 3" xfId="8112" xr:uid="{B988E00F-A302-4E7B-BC79-75829F6E1E63}"/>
    <cellStyle name="Normal 5 2 3 2 3" xfId="4827" xr:uid="{87A53E5E-C260-4807-9A5E-C97888A519AE}"/>
    <cellStyle name="Normal 5 2 3 2 3 2" xfId="9395" xr:uid="{D546A622-3786-45A4-BEED-4199AFD6FD5F}"/>
    <cellStyle name="Normal 5 2 3 2 4" xfId="7103" xr:uid="{7130639B-548F-4EA7-B9CB-1D3D23185F8D}"/>
    <cellStyle name="Normal 5 2 3 3" xfId="2984" xr:uid="{87CE762B-31C8-4644-B0AA-204297941DD9}"/>
    <cellStyle name="Normal 5 2 3 3 2" xfId="5408" xr:uid="{64C32E45-5F05-4CA8-BE27-AD7F6E986192}"/>
    <cellStyle name="Normal 5 2 3 3 2 2" xfId="9976" xr:uid="{4F5C631C-5C29-4D8D-8486-B582198DE066}"/>
    <cellStyle name="Normal 5 2 3 3 3" xfId="7684" xr:uid="{F996573F-7ADD-4D6B-B197-081807344874}"/>
    <cellStyle name="Normal 5 2 3 4" xfId="4399" xr:uid="{5FE5C4D6-99C1-4175-ACEE-5768815D9562}"/>
    <cellStyle name="Normal 5 2 3 4 2" xfId="8967" xr:uid="{B2883688-E828-4DE0-B8D3-44415DC77118}"/>
    <cellStyle name="Normal 5 2 3 5" xfId="6675" xr:uid="{A3FFDCCA-AEE4-43C1-B825-096674B42094}"/>
    <cellStyle name="Normal 5 2 4" xfId="2212" xr:uid="{5B9AB708-D1EA-44BB-97B8-EEB36304DB14}"/>
    <cellStyle name="Normal 5 2 4 2" xfId="3225" xr:uid="{3C370E7F-B808-4A5A-8352-BAF4BDA813DA}"/>
    <cellStyle name="Normal 5 2 4 2 2" xfId="5649" xr:uid="{6FA8CCE2-5268-440D-A3F9-F7C41BD8CF33}"/>
    <cellStyle name="Normal 5 2 4 2 2 2" xfId="10217" xr:uid="{7DBE4744-E300-4065-A937-C98595B11219}"/>
    <cellStyle name="Normal 5 2 4 2 3" xfId="7925" xr:uid="{7E5FD545-3A41-4CDE-92EB-2FA907B59DF3}"/>
    <cellStyle name="Normal 5 2 4 3" xfId="4640" xr:uid="{6726CDD7-64D5-47BF-BA8D-5816464A1427}"/>
    <cellStyle name="Normal 5 2 4 3 2" xfId="9208" xr:uid="{AA8C5264-CD69-4A7A-8486-E933BD43ED29}"/>
    <cellStyle name="Normal 5 2 4 4" xfId="6916" xr:uid="{B7ABFB1E-B82C-4FB8-8C0F-70F3C88B2CF8}"/>
    <cellStyle name="Normal 5 2 5" xfId="2794" xr:uid="{EEB78A8E-0D08-4D43-B34D-8482FD2EC9ED}"/>
    <cellStyle name="Normal 5 2 5 2" xfId="5219" xr:uid="{DE085A84-5AF1-43B4-B16B-0F88D0ECE2A0}"/>
    <cellStyle name="Normal 5 2 5 2 2" xfId="9787" xr:uid="{32EB5F3D-BDC2-4B9A-B652-E953EA600CED}"/>
    <cellStyle name="Normal 5 2 5 3" xfId="7495" xr:uid="{D52A8A2F-F1DE-42B9-A531-1B7A7848D7CD}"/>
    <cellStyle name="Normal 5 2 6" xfId="4209" xr:uid="{1AED0325-6EE1-452A-B506-8E65161F7000}"/>
    <cellStyle name="Normal 5 2 6 2" xfId="8778" xr:uid="{688487AA-2527-4166-9C4B-C3ADD1119A5C}"/>
    <cellStyle name="Normal 5 2 7" xfId="6487" xr:uid="{420FE77F-E951-4243-969C-FF64AC3A939E}"/>
    <cellStyle name="Normal 5 2 8" xfId="1567" xr:uid="{02ADC3D2-9C7A-4C9B-8288-69A7622E859A}"/>
    <cellStyle name="Normal 5 3" xfId="662" xr:uid="{00000000-0005-0000-0000-0000CC030000}"/>
    <cellStyle name="Normal 5 3 2" xfId="663" xr:uid="{00000000-0005-0000-0000-0000CD030000}"/>
    <cellStyle name="Normal 5 3 2 2" xfId="1857" xr:uid="{FC48C11B-75A1-4EF7-83EF-A5384D0DABB4}"/>
    <cellStyle name="Normal 5 3 2 2 2" xfId="2404" xr:uid="{EBF6BEA8-294E-4A27-85E5-C0AF5C709D1E}"/>
    <cellStyle name="Normal 5 3 2 2 2 2" xfId="3415" xr:uid="{C7EC4899-1D53-4BA7-8B35-CDD5C942D13E}"/>
    <cellStyle name="Normal 5 3 2 2 2 2 2" xfId="5839" xr:uid="{4690B9F7-DA44-4FC5-AEB7-8ED394AAF291}"/>
    <cellStyle name="Normal 5 3 2 2 2 2 2 2" xfId="10407" xr:uid="{7E402E4B-0605-4482-BDEB-0E632DFAA1E1}"/>
    <cellStyle name="Normal 5 3 2 2 2 2 3" xfId="8115" xr:uid="{82C0E156-DDD4-473E-9EA8-9D4FFAABDEF1}"/>
    <cellStyle name="Normal 5 3 2 2 2 3" xfId="4830" xr:uid="{2AA82C3A-D00E-428C-A569-4A3F6128B474}"/>
    <cellStyle name="Normal 5 3 2 2 2 3 2" xfId="9398" xr:uid="{C95FD0BB-520D-43D1-B91B-CB9975E447C5}"/>
    <cellStyle name="Normal 5 3 2 2 2 4" xfId="7106" xr:uid="{6E53C926-6191-417B-AE50-0E66BD0005C1}"/>
    <cellStyle name="Normal 5 3 2 2 3" xfId="2987" xr:uid="{B1D97064-A358-412E-A5CB-0D8D22FF4788}"/>
    <cellStyle name="Normal 5 3 2 2 3 2" xfId="5411" xr:uid="{CAB61D77-CA0F-49B9-B517-61B9F7B38A03}"/>
    <cellStyle name="Normal 5 3 2 2 3 2 2" xfId="9979" xr:uid="{8B498AFE-BB2A-4388-9BB8-0A91EFFCE230}"/>
    <cellStyle name="Normal 5 3 2 2 3 3" xfId="7687" xr:uid="{4EB275A5-E750-444A-A5FE-3AD6CBE4CB31}"/>
    <cellStyle name="Normal 5 3 2 2 4" xfId="4402" xr:uid="{6EEF4097-3EBC-4CCD-9BAC-2A44F2E52770}"/>
    <cellStyle name="Normal 5 3 2 2 4 2" xfId="8970" xr:uid="{C930C53C-0376-4ECF-89FC-081971AC656A}"/>
    <cellStyle name="Normal 5 3 2 2 5" xfId="6678" xr:uid="{8F66C54E-0E1F-4B56-8564-72491CBB2AC2}"/>
    <cellStyle name="Normal 5 3 2 3" xfId="2215" xr:uid="{072FDE0F-98B9-4A0E-B35F-FA0316870F2F}"/>
    <cellStyle name="Normal 5 3 2 3 2" xfId="3228" xr:uid="{6E6E0554-334A-4778-8D99-8F031D4E3A33}"/>
    <cellStyle name="Normal 5 3 2 3 2 2" xfId="5652" xr:uid="{BBDE7AF0-820D-4501-BEC9-E5FD41A267BC}"/>
    <cellStyle name="Normal 5 3 2 3 2 2 2" xfId="10220" xr:uid="{168D7038-9443-4586-8D0D-10BA526FF21B}"/>
    <cellStyle name="Normal 5 3 2 3 2 3" xfId="7928" xr:uid="{1F65476E-0A59-4D50-91A9-BCF7D7FD0BB4}"/>
    <cellStyle name="Normal 5 3 2 3 3" xfId="4643" xr:uid="{CD557665-9D31-416D-87AF-211D82C49C29}"/>
    <cellStyle name="Normal 5 3 2 3 3 2" xfId="9211" xr:uid="{F5C12C57-B547-413A-9D39-184CEFBE8978}"/>
    <cellStyle name="Normal 5 3 2 3 4" xfId="6919" xr:uid="{BDC24392-3D55-434A-858D-B7F4E38FC382}"/>
    <cellStyle name="Normal 5 3 2 4" xfId="2797" xr:uid="{387BF4D6-8BD9-40F5-B81D-E86144E7A772}"/>
    <cellStyle name="Normal 5 3 2 4 2" xfId="5222" xr:uid="{73551DFB-D887-4B1B-9C00-F7EFD17DDC6E}"/>
    <cellStyle name="Normal 5 3 2 4 2 2" xfId="9790" xr:uid="{0814AAD9-EEAA-4781-9046-A63EE1EFD939}"/>
    <cellStyle name="Normal 5 3 2 4 3" xfId="7498" xr:uid="{7F1CD402-1730-45BA-9484-65631B5B875E}"/>
    <cellStyle name="Normal 5 3 2 5" xfId="4212" xr:uid="{A4261DD7-61FB-4FA7-AA32-DF03B21DBB45}"/>
    <cellStyle name="Normal 5 3 2 5 2" xfId="8781" xr:uid="{705E73FD-6CC1-4A68-885E-5F9017E8CEA8}"/>
    <cellStyle name="Normal 5 3 2 6" xfId="6490" xr:uid="{D25C93D3-032C-4ACE-AAF0-A9CAB3904B6E}"/>
    <cellStyle name="Normal 5 3 2 7" xfId="1570" xr:uid="{501310EA-3502-4C3B-8547-47FC3A4A6566}"/>
    <cellStyle name="Normal 5 3 3" xfId="1856" xr:uid="{8C669DA0-682E-408D-A07D-5A5B5B657309}"/>
    <cellStyle name="Normal 5 3 3 2" xfId="2403" xr:uid="{98928B5C-7CDB-4141-9EF0-524CACF7B4AA}"/>
    <cellStyle name="Normal 5 3 3 2 2" xfId="3414" xr:uid="{08254178-E110-44E1-8EA5-2C24AF89F7FE}"/>
    <cellStyle name="Normal 5 3 3 2 2 2" xfId="5838" xr:uid="{DDE989D8-BFF9-40B7-A0D2-4A80666CED28}"/>
    <cellStyle name="Normal 5 3 3 2 2 2 2" xfId="10406" xr:uid="{B5817A75-0DDC-4341-9508-9A30895BFD48}"/>
    <cellStyle name="Normal 5 3 3 2 2 3" xfId="8114" xr:uid="{C86007BE-87A3-4A53-9EE4-7B2DAD21EEBF}"/>
    <cellStyle name="Normal 5 3 3 2 3" xfId="4829" xr:uid="{D42C00D8-D31E-4F56-8EF6-BA7E376E6E51}"/>
    <cellStyle name="Normal 5 3 3 2 3 2" xfId="9397" xr:uid="{B98CF1EF-080B-4ACF-BDD6-21EEF0EEA78B}"/>
    <cellStyle name="Normal 5 3 3 2 4" xfId="7105" xr:uid="{E5F1CB4D-AFC3-41A1-B9E0-48958B63BE0F}"/>
    <cellStyle name="Normal 5 3 3 3" xfId="2986" xr:uid="{89AF9802-4DDE-48D4-8802-EFC5EB604186}"/>
    <cellStyle name="Normal 5 3 3 3 2" xfId="5410" xr:uid="{0E31FE43-29FB-4328-80CE-EE6BCF05F657}"/>
    <cellStyle name="Normal 5 3 3 3 2 2" xfId="9978" xr:uid="{AA783696-2CF2-412A-93F7-A44993641C61}"/>
    <cellStyle name="Normal 5 3 3 3 3" xfId="7686" xr:uid="{74B25DBC-672F-4B2E-815A-14B3604E8DCE}"/>
    <cellStyle name="Normal 5 3 3 4" xfId="4401" xr:uid="{24CA1EA2-2A06-4719-AA1A-B4944AA766FE}"/>
    <cellStyle name="Normal 5 3 3 4 2" xfId="8969" xr:uid="{7339CE21-586B-4D0C-A11B-EC99E9921C69}"/>
    <cellStyle name="Normal 5 3 3 5" xfId="6677" xr:uid="{D962D44E-3F18-4114-BD61-370D1995E9B2}"/>
    <cellStyle name="Normal 5 3 4" xfId="2214" xr:uid="{70907F6E-7E48-44B7-AF5F-E77A13ABEEDC}"/>
    <cellStyle name="Normal 5 3 4 2" xfId="3227" xr:uid="{17C06D7F-C7E7-4EB7-85D4-423050869D23}"/>
    <cellStyle name="Normal 5 3 4 2 2" xfId="5651" xr:uid="{DA7E1FCC-09FF-494A-966F-F285943A2F35}"/>
    <cellStyle name="Normal 5 3 4 2 2 2" xfId="10219" xr:uid="{FF996FCB-7C0F-42BA-B938-CC58AD12CBED}"/>
    <cellStyle name="Normal 5 3 4 2 3" xfId="7927" xr:uid="{5527DC4A-8343-463B-921B-F8E2BA2596C5}"/>
    <cellStyle name="Normal 5 3 4 3" xfId="4642" xr:uid="{8B230839-50D4-4AC8-91B9-6E7641C63CA2}"/>
    <cellStyle name="Normal 5 3 4 3 2" xfId="9210" xr:uid="{14328C86-BEDB-49DA-8226-AD4805927148}"/>
    <cellStyle name="Normal 5 3 4 4" xfId="6918" xr:uid="{85481AD3-E523-425B-A655-FEAEEA4EAC68}"/>
    <cellStyle name="Normal 5 3 5" xfId="2796" xr:uid="{17151650-7277-4DB5-BAB2-CD05167C155D}"/>
    <cellStyle name="Normal 5 3 5 2" xfId="5221" xr:uid="{1AEFA23B-70C5-46B0-B590-7FDCC3DD693D}"/>
    <cellStyle name="Normal 5 3 5 2 2" xfId="9789" xr:uid="{6F0DF175-E7D0-4B55-958B-50B1638B8013}"/>
    <cellStyle name="Normal 5 3 5 3" xfId="7497" xr:uid="{FF41D3EF-C90F-4625-8CED-E70A93F7FEF7}"/>
    <cellStyle name="Normal 5 3 6" xfId="4211" xr:uid="{B5903735-E44B-4E15-A447-7C963EE178B5}"/>
    <cellStyle name="Normal 5 3 6 2" xfId="8780" xr:uid="{1D252CC5-33E2-4CCB-9581-66242116B6B9}"/>
    <cellStyle name="Normal 5 3 7" xfId="6489" xr:uid="{2746EAD1-4875-4109-9ABE-E9629B55CF30}"/>
    <cellStyle name="Normal 5 3 8" xfId="1569" xr:uid="{A52CFF28-AE8B-4B17-B2A1-C7E5366CC181}"/>
    <cellStyle name="Normal 5 4" xfId="664" xr:uid="{00000000-0005-0000-0000-0000CE030000}"/>
    <cellStyle name="Normal 5 4 2" xfId="1858" xr:uid="{1E39E000-F54E-4CA0-873D-DFF054147487}"/>
    <cellStyle name="Normal 5 4 2 2" xfId="2405" xr:uid="{7A85091F-3FE6-450A-A88F-6652D4FA0929}"/>
    <cellStyle name="Normal 5 4 2 2 2" xfId="3416" xr:uid="{18C013CC-D345-4AD2-A9F8-7462796F02EB}"/>
    <cellStyle name="Normal 5 4 2 2 2 2" xfId="5840" xr:uid="{4A7ABA10-22AD-477B-826D-650A6AB5E677}"/>
    <cellStyle name="Normal 5 4 2 2 2 2 2" xfId="10408" xr:uid="{0AB22A45-5335-448A-AE19-9E7022A56EA7}"/>
    <cellStyle name="Normal 5 4 2 2 2 3" xfId="8116" xr:uid="{A089CB9C-98EF-4067-B517-A683ED7A2D75}"/>
    <cellStyle name="Normal 5 4 2 2 3" xfId="4831" xr:uid="{6F0F55CB-449C-4BE1-8C19-23E588AA4AB5}"/>
    <cellStyle name="Normal 5 4 2 2 3 2" xfId="9399" xr:uid="{2FBFBE59-1A41-4E48-96E4-7257DCC3E35A}"/>
    <cellStyle name="Normal 5 4 2 2 4" xfId="7107" xr:uid="{2F36866D-B33B-4346-81B6-03AB049AAD06}"/>
    <cellStyle name="Normal 5 4 2 3" xfId="2988" xr:uid="{715311BA-C85C-4440-98CD-F96D61702328}"/>
    <cellStyle name="Normal 5 4 2 3 2" xfId="5412" xr:uid="{53A594A1-45BD-44A2-915D-943D70947246}"/>
    <cellStyle name="Normal 5 4 2 3 2 2" xfId="9980" xr:uid="{A7A8B7A7-AC48-4F41-93C1-7371BB6042FC}"/>
    <cellStyle name="Normal 5 4 2 3 3" xfId="7688" xr:uid="{490EAD17-C001-4368-930D-893187252096}"/>
    <cellStyle name="Normal 5 4 2 4" xfId="4403" xr:uid="{DC88A5FB-AAAA-4207-A788-22FAC0E64298}"/>
    <cellStyle name="Normal 5 4 2 4 2" xfId="8971" xr:uid="{E8DE6BA2-AEB3-451F-9608-DAADE291DD33}"/>
    <cellStyle name="Normal 5 4 2 5" xfId="6679" xr:uid="{BDEDA8EE-4FA0-4AA2-BF33-D8EAE23C6D70}"/>
    <cellStyle name="Normal 5 4 3" xfId="2216" xr:uid="{A0956B3D-DE77-446C-867E-DBEBD6112885}"/>
    <cellStyle name="Normal 5 4 3 2" xfId="3229" xr:uid="{D5392B17-DBCF-46E4-B53C-0F655D06567D}"/>
    <cellStyle name="Normal 5 4 3 2 2" xfId="5653" xr:uid="{4D55B281-4199-418A-A5B6-60C7C013C9D4}"/>
    <cellStyle name="Normal 5 4 3 2 2 2" xfId="10221" xr:uid="{820E2C76-02BF-4D6B-BB97-8323D8636299}"/>
    <cellStyle name="Normal 5 4 3 2 3" xfId="7929" xr:uid="{87869FC4-9CF2-479B-90C4-471BAA9D8F67}"/>
    <cellStyle name="Normal 5 4 3 3" xfId="4644" xr:uid="{3680858C-C9EE-47D4-92CD-3FDE12C2FF9D}"/>
    <cellStyle name="Normal 5 4 3 3 2" xfId="9212" xr:uid="{B39D15EC-B0A3-4BE8-BDD2-36D54002905D}"/>
    <cellStyle name="Normal 5 4 3 4" xfId="6920" xr:uid="{EDABA43F-3A5F-4D5B-AB8D-E46CDFB187C5}"/>
    <cellStyle name="Normal 5 4 4" xfId="2798" xr:uid="{0E53F428-ED67-4DEA-8EF7-B7DFA6A65E9C}"/>
    <cellStyle name="Normal 5 4 4 2" xfId="5223" xr:uid="{0B3EFB8C-78E1-494C-B2B2-A17CABBD4F07}"/>
    <cellStyle name="Normal 5 4 4 2 2" xfId="9791" xr:uid="{9E39E31F-B190-465A-B5AE-1693A1C33CA2}"/>
    <cellStyle name="Normal 5 4 4 3" xfId="7499" xr:uid="{9FDF8BD4-8231-4E46-BAC3-1FEFFEE8AAEF}"/>
    <cellStyle name="Normal 5 4 5" xfId="4213" xr:uid="{21438BDC-06EB-4686-A484-4979BD34D165}"/>
    <cellStyle name="Normal 5 4 5 2" xfId="8782" xr:uid="{D1E37CBF-3704-4389-AB48-9050AE7547AB}"/>
    <cellStyle name="Normal 5 4 6" xfId="6491" xr:uid="{2496CF10-34B1-43B7-AC54-DCC83059C441}"/>
    <cellStyle name="Normal 5 4 7" xfId="1571" xr:uid="{FB8797B4-8329-4714-8533-FC65CD69CE0D}"/>
    <cellStyle name="Normal 5 5" xfId="926" xr:uid="{00000000-0005-0000-0000-0000CF030000}"/>
    <cellStyle name="Normal 5 5 2" xfId="1878" xr:uid="{D768389A-FFAB-464A-AD62-B38137AE4CEA}"/>
    <cellStyle name="Normal 5 5 2 2" xfId="2421" xr:uid="{E4CCEB09-101A-40F9-A870-742B01939E95}"/>
    <cellStyle name="Normal 5 5 2 2 2" xfId="3432" xr:uid="{9894A965-1130-40C6-AFCD-18CB04989883}"/>
    <cellStyle name="Normal 5 5 2 2 2 2" xfId="5856" xr:uid="{39A5F4C7-4C2F-4C19-9907-FD533D45761F}"/>
    <cellStyle name="Normal 5 5 2 2 2 2 2" xfId="10424" xr:uid="{65D287CB-A6C8-4BB2-B29F-205F2C9B8B81}"/>
    <cellStyle name="Normal 5 5 2 2 2 3" xfId="8132" xr:uid="{225EAF04-9FAF-4B70-893A-3783C5262CFD}"/>
    <cellStyle name="Normal 5 5 2 2 3" xfId="4847" xr:uid="{2A2C89F1-EFDA-47C0-84CA-A33015C0DE65}"/>
    <cellStyle name="Normal 5 5 2 2 3 2" xfId="9415" xr:uid="{8219EA5F-736A-4205-9108-633ACFD1F012}"/>
    <cellStyle name="Normal 5 5 2 2 4" xfId="7123" xr:uid="{11612A9F-0590-4892-BB50-201805096BAC}"/>
    <cellStyle name="Normal 5 5 2 3" xfId="3004" xr:uid="{CFE1E896-AF84-48F1-BB20-10308B24F52E}"/>
    <cellStyle name="Normal 5 5 2 3 2" xfId="5428" xr:uid="{33178233-2DEE-4B5D-AD1B-FAC1E42CA3F4}"/>
    <cellStyle name="Normal 5 5 2 3 2 2" xfId="9996" xr:uid="{7FA34C25-87C3-48BF-8C7B-9A5D79C555B9}"/>
    <cellStyle name="Normal 5 5 2 3 3" xfId="7704" xr:uid="{F60FA66C-9B10-4D55-B1E0-725A9186A479}"/>
    <cellStyle name="Normal 5 5 2 4" xfId="4419" xr:uid="{DA0B0F1C-C7ED-4647-A9E8-5F1FA457E342}"/>
    <cellStyle name="Normal 5 5 2 4 2" xfId="8987" xr:uid="{D0469299-2AD1-458B-828A-6060C892DC05}"/>
    <cellStyle name="Normal 5 5 2 5" xfId="6695" xr:uid="{E6E7BC99-E1A9-43DD-A46B-9AE0F4494E4F}"/>
    <cellStyle name="Normal 5 5 3" xfId="2233" xr:uid="{F39967DF-535B-4BBB-8934-1BE88BBAE436}"/>
    <cellStyle name="Normal 5 5 3 2" xfId="3245" xr:uid="{2C84A95A-E77F-4DBC-B7F9-069D114253D5}"/>
    <cellStyle name="Normal 5 5 3 2 2" xfId="5669" xr:uid="{7E1580AD-FD0F-45C8-A7CD-CBB90A4EE082}"/>
    <cellStyle name="Normal 5 5 3 2 2 2" xfId="10237" xr:uid="{26104B16-7E9E-4695-BD83-83B9D5B79862}"/>
    <cellStyle name="Normal 5 5 3 2 3" xfId="7945" xr:uid="{86B5A37D-3426-4307-8DF3-8A096D39E9CF}"/>
    <cellStyle name="Normal 5 5 3 3" xfId="4660" xr:uid="{BD9E8C0B-C777-47AB-B3A4-8B6E90C5435E}"/>
    <cellStyle name="Normal 5 5 3 3 2" xfId="9228" xr:uid="{769EC021-23CD-40A4-BBA8-9E149C8D2D58}"/>
    <cellStyle name="Normal 5 5 3 4" xfId="6936" xr:uid="{6F676A4D-6CF1-48F1-89AD-29E9D11E9F4E}"/>
    <cellStyle name="Normal 5 5 4" xfId="2817" xr:uid="{E0E7DDFB-967C-4DF1-B4A0-A8E57A213FC5}"/>
    <cellStyle name="Normal 5 5 4 2" xfId="5241" xr:uid="{962EA0DA-65B6-48BF-888E-ACE48B98C7B2}"/>
    <cellStyle name="Normal 5 5 4 2 2" xfId="9809" xr:uid="{66DB0548-A506-4226-8E87-AF611B09547F}"/>
    <cellStyle name="Normal 5 5 4 3" xfId="7517" xr:uid="{4D0EE0D3-779B-4E20-BDBC-43834B324B87}"/>
    <cellStyle name="Normal 5 5 5" xfId="4231" xr:uid="{19BA4C7E-15E4-4DE9-9E05-65C585DA1C88}"/>
    <cellStyle name="Normal 5 5 5 2" xfId="8799" xr:uid="{EEC4F046-8716-4DEE-ADA3-63773DED867A}"/>
    <cellStyle name="Normal 5 5 6" xfId="6508" xr:uid="{989CE2BE-3558-487B-9267-CF13F0FC5386}"/>
    <cellStyle name="Normal 5 5 7" xfId="1588" xr:uid="{7966CC6B-6D92-4FD1-838F-3033B8F1D5D9}"/>
    <cellStyle name="Normal 5 6" xfId="1024" xr:uid="{00000000-0005-0000-0000-0000D0030000}"/>
    <cellStyle name="Normal 5 6 2" xfId="2400" xr:uid="{F1E34726-8157-4830-837A-A421125FB7FD}"/>
    <cellStyle name="Normal 5 6 2 2" xfId="3411" xr:uid="{C1DB683F-49FE-4858-8214-C33F87963CD2}"/>
    <cellStyle name="Normal 5 6 2 2 2" xfId="5835" xr:uid="{7B4DB354-1450-4183-8F82-3603C3B1DE34}"/>
    <cellStyle name="Normal 5 6 2 2 2 2" xfId="10403" xr:uid="{B30DF24D-B865-40AA-97C8-AB84F7BB54A8}"/>
    <cellStyle name="Normal 5 6 2 2 3" xfId="8111" xr:uid="{2B2175ED-4258-495D-A884-B88A4EDEDE5F}"/>
    <cellStyle name="Normal 5 6 2 3" xfId="4826" xr:uid="{92A26850-6322-4E21-BBE6-4FA7F912AA74}"/>
    <cellStyle name="Normal 5 6 2 3 2" xfId="9394" xr:uid="{593AB954-7F43-4BC9-A73B-77461D0DB088}"/>
    <cellStyle name="Normal 5 6 2 4" xfId="7102" xr:uid="{CEA4CCEA-792E-4612-A1CE-DB55785FA71E}"/>
    <cellStyle name="Normal 5 6 3" xfId="2983" xr:uid="{21BEDB2D-1F20-44D2-9BD5-11070590F51E}"/>
    <cellStyle name="Normal 5 6 3 2" xfId="5407" xr:uid="{548140D9-0C14-4ED6-8086-8E1D1D83AFD3}"/>
    <cellStyle name="Normal 5 6 3 2 2" xfId="9975" xr:uid="{89AE1D00-DBD2-4406-B065-3AA45764AF1F}"/>
    <cellStyle name="Normal 5 6 3 3" xfId="7683" xr:uid="{16911E22-96EC-4C76-BCCF-D3C014F7A08C}"/>
    <cellStyle name="Normal 5 6 4" xfId="4398" xr:uid="{CED20083-1B6A-45A7-BAA6-7E169BA2B9DD}"/>
    <cellStyle name="Normal 5 6 4 2" xfId="8966" xr:uid="{A9BC06C3-1E4D-45B5-B98C-3DFEDF218866}"/>
    <cellStyle name="Normal 5 6 5" xfId="6674" xr:uid="{370EAE81-7E9C-4B3D-BFED-444D39DBB53E}"/>
    <cellStyle name="Normal 5 6 6" xfId="1853" xr:uid="{BB1D624F-CD83-4555-AB91-3C1B086BC38F}"/>
    <cellStyle name="Normal 5 7" xfId="1069" xr:uid="{00000000-0005-0000-0000-0000D1030000}"/>
    <cellStyle name="Normal 5 7 2" xfId="3224" xr:uid="{E74CE4C0-996C-4A9F-8279-FC64C89BCF04}"/>
    <cellStyle name="Normal 5 7 2 2" xfId="5648" xr:uid="{56261E7D-9EAB-4BEA-9681-FCF5031983DE}"/>
    <cellStyle name="Normal 5 7 2 2 2" xfId="10216" xr:uid="{115F09A1-DC49-4137-A5FC-6FE4143B5576}"/>
    <cellStyle name="Normal 5 7 2 3" xfId="7924" xr:uid="{8F1604EE-C7AB-4322-9DE2-AF31074F06BD}"/>
    <cellStyle name="Normal 5 7 3" xfId="4639" xr:uid="{A496BC4A-DE83-4525-A1D7-17E95411A38B}"/>
    <cellStyle name="Normal 5 7 3 2" xfId="9207" xr:uid="{B6319179-69ED-47FC-874F-F095B8593D9A}"/>
    <cellStyle name="Normal 5 7 4" xfId="6915" xr:uid="{A38161AF-F22C-43FF-A08B-A3FB7DE7B44E}"/>
    <cellStyle name="Normal 5 7 5" xfId="2211" xr:uid="{446712FC-FC36-44EF-AC1A-0FCDF89D5597}"/>
    <cellStyle name="Normal 5 8" xfId="2793" xr:uid="{AFBD17AC-4F4A-4F8E-A5FA-6C28CA8E7012}"/>
    <cellStyle name="Normal 5 8 2" xfId="5218" xr:uid="{B905CBCB-9B1B-4DD7-81E9-EB2BCF764663}"/>
    <cellStyle name="Normal 5 8 2 2" xfId="9786" xr:uid="{19D9CFB2-D5BA-4535-AD6B-A8680D9E1A1A}"/>
    <cellStyle name="Normal 5 8 3" xfId="7494" xr:uid="{1CF2BD13-E37E-4EA2-8A9C-47B3E1C2B793}"/>
    <cellStyle name="Normal 5 9" xfId="4208" xr:uid="{02C28564-7DCB-4B3C-84C6-0AE0226F0102}"/>
    <cellStyle name="Normal 5 9 2" xfId="8777" xr:uid="{78B4FC53-AD26-4387-8410-19469E3C5462}"/>
    <cellStyle name="Normal 50" xfId="1201" xr:uid="{00000000-0005-0000-0000-0000D2030000}"/>
    <cellStyle name="Normal 50 2" xfId="5044" xr:uid="{38DB455E-CE6D-4F26-82CE-3D4386D53A6B}"/>
    <cellStyle name="Normal 50 2 2" xfId="9612" xr:uid="{36F79023-606E-4EBE-AE0E-12D78424F407}"/>
    <cellStyle name="Normal 50 3" xfId="7320" xr:uid="{973D9715-0BA8-4A7D-9C84-5A070315890C}"/>
    <cellStyle name="Normal 50 4" xfId="2618" xr:uid="{BCD96D94-554E-49D2-9177-8C0F6FAE1A8D}"/>
    <cellStyle name="Normal 51" xfId="1210" xr:uid="{00000000-0005-0000-0000-0000D3030000}"/>
    <cellStyle name="Normal 51 2" xfId="5045" xr:uid="{E8F9E72E-8854-4EAD-87BB-18E01152CA6C}"/>
    <cellStyle name="Normal 51 2 2" xfId="9613" xr:uid="{EAB469D8-E962-40E4-8875-AD7697C2EDB3}"/>
    <cellStyle name="Normal 51 3" xfId="7321" xr:uid="{07695C36-FD67-4161-B412-BCA1299BB165}"/>
    <cellStyle name="Normal 51 4" xfId="2619" xr:uid="{A209F60A-7200-4937-850B-8E7690FADC9A}"/>
    <cellStyle name="Normal 52" xfId="1223" xr:uid="{00000000-0005-0000-0000-0000D4030000}"/>
    <cellStyle name="Normal 52 2" xfId="5046" xr:uid="{C80C0531-7255-4B12-BB73-6E23491BA3BF}"/>
    <cellStyle name="Normal 52 2 2" xfId="9614" xr:uid="{ACAA7640-0715-45EB-8C55-51549427BC2B}"/>
    <cellStyle name="Normal 52 3" xfId="7322" xr:uid="{9FE2C99F-02AA-48F4-9BEC-673247048C27}"/>
    <cellStyle name="Normal 52 4" xfId="2620" xr:uid="{3F68933C-830F-4B71-A9EF-15B172DB6F44}"/>
    <cellStyle name="Normal 53" xfId="1237" xr:uid="{00000000-0005-0000-0000-0000D5030000}"/>
    <cellStyle name="Normal 53 2" xfId="5047" xr:uid="{286AAEA7-120A-44C9-961E-DCB9CE0B9329}"/>
    <cellStyle name="Normal 53 2 2" xfId="9615" xr:uid="{4FB2A47E-9D2E-486F-BD84-6AF94BF8DB36}"/>
    <cellStyle name="Normal 53 3" xfId="7323" xr:uid="{6C7F4A81-5EAE-4CF1-8634-101A77E7FCBC}"/>
    <cellStyle name="Normal 53 4" xfId="2621" xr:uid="{4749F270-A0D2-436E-851B-CDAD24BF293E}"/>
    <cellStyle name="Normal 54" xfId="1254" xr:uid="{00000000-0005-0000-0000-0000D6030000}"/>
    <cellStyle name="Normal 54 2" xfId="5048" xr:uid="{7A0D2808-AF27-42AD-8D9F-C1105F353DA6}"/>
    <cellStyle name="Normal 54 2 2" xfId="9616" xr:uid="{83B2F895-DA91-4E08-86F1-0B8351D0273F}"/>
    <cellStyle name="Normal 54 3" xfId="7324" xr:uid="{0EAE1FA4-1ADF-4A3A-9CD6-3CB53F73173D}"/>
    <cellStyle name="Normal 54 4" xfId="2622" xr:uid="{C751789A-22A5-4036-BD42-BD52B1326415}"/>
    <cellStyle name="Normal 55" xfId="1256" xr:uid="{00000000-0005-0000-0000-0000D7030000}"/>
    <cellStyle name="Normal 55 2" xfId="5049" xr:uid="{CF5FC95E-A03E-40CA-A99E-31144000B494}"/>
    <cellStyle name="Normal 55 2 2" xfId="9617" xr:uid="{F8526587-6A21-489E-84F5-9966CE40D3C1}"/>
    <cellStyle name="Normal 55 3" xfId="7325" xr:uid="{E8A87BFC-8A89-4CE5-BFD8-4C372CD05895}"/>
    <cellStyle name="Normal 55 4" xfId="2623" xr:uid="{45B93E60-8429-446C-8B03-37DEEE897F6B}"/>
    <cellStyle name="Normal 56" xfId="1258" xr:uid="{00000000-0005-0000-0000-0000D8030000}"/>
    <cellStyle name="Normal 56 2" xfId="5050" xr:uid="{B96FA641-CCBA-488B-BFBF-8315A7132388}"/>
    <cellStyle name="Normal 56 2 2" xfId="9618" xr:uid="{4A78AB07-D68B-47CB-94F8-3F2035AC6227}"/>
    <cellStyle name="Normal 56 3" xfId="7326" xr:uid="{E32B562D-3ABC-4790-870D-3E7A705F809D}"/>
    <cellStyle name="Normal 56 4" xfId="2624" xr:uid="{D00ED897-3FF2-4361-AE6E-EE854E20BD49}"/>
    <cellStyle name="Normal 57" xfId="1274" xr:uid="{37D13BB5-8F7D-4654-939D-3148181AC78E}"/>
    <cellStyle name="Normal 57 2" xfId="5051" xr:uid="{3F74CEE5-D076-4E67-A10E-97A03EA20545}"/>
    <cellStyle name="Normal 57 2 2" xfId="9619" xr:uid="{7ACC5243-B125-4E27-82A5-4826BF8EB594}"/>
    <cellStyle name="Normal 57 3" xfId="7327" xr:uid="{8C1CBDE0-C277-4B07-B6D2-F8200A3D1A84}"/>
    <cellStyle name="Normal 57 4" xfId="2625" xr:uid="{752442CB-D99E-4964-9D66-5D58A801FCB8}"/>
    <cellStyle name="Normal 58" xfId="1280" xr:uid="{8BF686E5-F4D8-49E6-B190-7E1C5690EB1F}"/>
    <cellStyle name="Normal 58 2" xfId="5052" xr:uid="{710CDF11-F713-4AC3-87D3-60486813456F}"/>
    <cellStyle name="Normal 58 2 2" xfId="9620" xr:uid="{44BA43C7-1256-4762-A08F-80A007ABFF8B}"/>
    <cellStyle name="Normal 58 3" xfId="7328" xr:uid="{F3786072-6124-4101-8D00-ACCC0F14131C}"/>
    <cellStyle name="Normal 58 4" xfId="2626" xr:uid="{FF9C52DF-AB4D-4099-9D0D-C26AA727F699}"/>
    <cellStyle name="Normal 59" xfId="1282" xr:uid="{E2BB62A4-C324-4CE5-AFA0-2B9E2A1CA895}"/>
    <cellStyle name="Normal 59 2" xfId="5053" xr:uid="{46CD0BDD-4290-430D-8C0B-D33795E839E5}"/>
    <cellStyle name="Normal 59 2 2" xfId="9621" xr:uid="{37698CEC-93D3-4272-AACB-0DACAF255284}"/>
    <cellStyle name="Normal 59 3" xfId="7329" xr:uid="{0F8CB206-7B27-4360-92E7-BEA3BBA34AE1}"/>
    <cellStyle name="Normal 59 4" xfId="2627" xr:uid="{5108C1CE-A940-407D-AD8F-0E71F002124D}"/>
    <cellStyle name="Normal 6" xfId="665" xr:uid="{00000000-0005-0000-0000-0000D9030000}"/>
    <cellStyle name="Normal 6 2" xfId="666" xr:uid="{00000000-0005-0000-0000-0000DA030000}"/>
    <cellStyle name="Normal 6 2 2" xfId="667" xr:uid="{00000000-0005-0000-0000-0000DB030000}"/>
    <cellStyle name="Normal 6 2 2 2" xfId="1861" xr:uid="{80CADC3B-8F0B-4141-AA99-1EB0D9490EE7}"/>
    <cellStyle name="Normal 6 2 2 2 2" xfId="2408" xr:uid="{B2D48CE7-DD58-4BD6-BC94-BAC20147BE28}"/>
    <cellStyle name="Normal 6 2 2 2 2 2" xfId="3419" xr:uid="{EEE5F435-5E3F-4F71-8E0A-52A869918608}"/>
    <cellStyle name="Normal 6 2 2 2 2 2 2" xfId="5843" xr:uid="{EFB1A715-0A98-49C1-9611-B99F1ADDE42A}"/>
    <cellStyle name="Normal 6 2 2 2 2 2 2 2" xfId="10411" xr:uid="{2FF3ECEC-34B2-4750-A7C5-D5E28564CA02}"/>
    <cellStyle name="Normal 6 2 2 2 2 2 3" xfId="8119" xr:uid="{C51C8113-E12E-407A-A5A5-37FF83E926DB}"/>
    <cellStyle name="Normal 6 2 2 2 2 3" xfId="4834" xr:uid="{EB21B86A-5E18-4DDD-9EEC-F7E1D09BF2C7}"/>
    <cellStyle name="Normal 6 2 2 2 2 3 2" xfId="9402" xr:uid="{B1EBCCBD-B9A0-4ED9-ACF0-5EE66AAAAF2C}"/>
    <cellStyle name="Normal 6 2 2 2 2 4" xfId="7110" xr:uid="{510A4A33-547F-4705-947D-EFDEBA8AB53B}"/>
    <cellStyle name="Normal 6 2 2 2 3" xfId="2991" xr:uid="{C1B8A3EE-9768-45EB-8E5F-FAD8D48EC346}"/>
    <cellStyle name="Normal 6 2 2 2 3 2" xfId="5415" xr:uid="{595CF4F4-E216-4D11-BD7C-5A1F2EB5BD18}"/>
    <cellStyle name="Normal 6 2 2 2 3 2 2" xfId="9983" xr:uid="{34F63527-F73F-4AFF-B892-B9E1F491503C}"/>
    <cellStyle name="Normal 6 2 2 2 3 3" xfId="7691" xr:uid="{356959DB-D1DF-446A-89D9-516B0C8BFACA}"/>
    <cellStyle name="Normal 6 2 2 2 4" xfId="4406" xr:uid="{4D5D58CB-B8D6-40DC-BDB1-780C2663A772}"/>
    <cellStyle name="Normal 6 2 2 2 4 2" xfId="8974" xr:uid="{590A5A4C-2995-4E75-9E3E-39E277970D3D}"/>
    <cellStyle name="Normal 6 2 2 2 5" xfId="6682" xr:uid="{1912B2DD-5EAA-4522-AC8B-A699D7F489C3}"/>
    <cellStyle name="Normal 6 2 2 3" xfId="2219" xr:uid="{88844A0A-3DA1-4544-9B55-D1378351113D}"/>
    <cellStyle name="Normal 6 2 2 3 2" xfId="3232" xr:uid="{4F46D842-4634-43D5-8B57-9EE7887FB190}"/>
    <cellStyle name="Normal 6 2 2 3 2 2" xfId="5656" xr:uid="{35AB3E4B-70F9-4C4F-92FE-720A0A36550B}"/>
    <cellStyle name="Normal 6 2 2 3 2 2 2" xfId="10224" xr:uid="{004DACAE-0F07-4CE1-8E02-98860E04A0B0}"/>
    <cellStyle name="Normal 6 2 2 3 2 3" xfId="7932" xr:uid="{DD4791C5-BA9C-4A64-ABA4-376CF611A3E7}"/>
    <cellStyle name="Normal 6 2 2 3 3" xfId="4647" xr:uid="{63CCBFC2-58BD-4F2D-807A-9A8DFDFA9DEC}"/>
    <cellStyle name="Normal 6 2 2 3 3 2" xfId="9215" xr:uid="{8B322C2E-AA92-4A63-A95B-0530BD8ED04D}"/>
    <cellStyle name="Normal 6 2 2 3 4" xfId="6923" xr:uid="{15A5AC6D-E1B3-44C5-B9BC-71E16BB9C1C2}"/>
    <cellStyle name="Normal 6 2 2 4" xfId="2801" xr:uid="{2BB8599B-06F5-40B3-90EC-8FE47B44B8C5}"/>
    <cellStyle name="Normal 6 2 2 4 2" xfId="5226" xr:uid="{2F6408B2-4433-40C4-811E-36621B467E99}"/>
    <cellStyle name="Normal 6 2 2 4 2 2" xfId="9794" xr:uid="{122F879D-F912-41F7-8A87-D9CDB16A8FC3}"/>
    <cellStyle name="Normal 6 2 2 4 3" xfId="7502" xr:uid="{60A6F179-BDAE-4D36-BE72-FF4F70CF3631}"/>
    <cellStyle name="Normal 6 2 2 5" xfId="4216" xr:uid="{8C79A202-A21E-4ED3-9720-322CAD471665}"/>
    <cellStyle name="Normal 6 2 2 5 2" xfId="8785" xr:uid="{90B8700E-8D1A-4CAA-8F57-7BC39CC74A5A}"/>
    <cellStyle name="Normal 6 2 2 6" xfId="6494" xr:uid="{DA5B9708-65EC-4108-8F19-A6E78DFA355D}"/>
    <cellStyle name="Normal 6 2 2 7" xfId="1574" xr:uid="{1DF9A27C-0B81-4D07-87CE-0806896C547E}"/>
    <cellStyle name="Normal 6 2 3" xfId="1860" xr:uid="{72004764-6668-423A-9806-A5D5443786A0}"/>
    <cellStyle name="Normal 6 2 3 2" xfId="2407" xr:uid="{3DC42F2C-9966-4036-9290-FB5F325AC627}"/>
    <cellStyle name="Normal 6 2 3 2 2" xfId="3418" xr:uid="{8BB2E1F4-6983-4D49-B2DC-6D876A527DDD}"/>
    <cellStyle name="Normal 6 2 3 2 2 2" xfId="5842" xr:uid="{A4EBFEA9-E900-4890-A2A1-8C246E247DF2}"/>
    <cellStyle name="Normal 6 2 3 2 2 2 2" xfId="10410" xr:uid="{82A69809-5037-470A-B086-B1A7EA85A95E}"/>
    <cellStyle name="Normal 6 2 3 2 2 3" xfId="8118" xr:uid="{5A949EA7-FDC1-4969-88B8-B5C4C646956A}"/>
    <cellStyle name="Normal 6 2 3 2 3" xfId="4833" xr:uid="{52D8D346-9702-4D20-8A67-61130A1418C2}"/>
    <cellStyle name="Normal 6 2 3 2 3 2" xfId="9401" xr:uid="{ED632AA8-33D7-42A9-BE26-8CB40151193C}"/>
    <cellStyle name="Normal 6 2 3 2 4" xfId="7109" xr:uid="{A87D9353-4FD0-4861-8868-283BD94090E5}"/>
    <cellStyle name="Normal 6 2 3 3" xfId="2990" xr:uid="{102B2775-1785-4957-89E4-D9372B122B55}"/>
    <cellStyle name="Normal 6 2 3 3 2" xfId="5414" xr:uid="{38257CAE-BDBF-4DF0-9CC0-761808B3C7BD}"/>
    <cellStyle name="Normal 6 2 3 3 2 2" xfId="9982" xr:uid="{7B3295D8-07E1-42F3-88AE-7777EA319DD5}"/>
    <cellStyle name="Normal 6 2 3 3 3" xfId="7690" xr:uid="{10F642BC-0350-4EEE-979F-EB83BA15D343}"/>
    <cellStyle name="Normal 6 2 3 4" xfId="4405" xr:uid="{03D8ABC2-7615-4861-AAE2-85AABC6FBF3A}"/>
    <cellStyle name="Normal 6 2 3 4 2" xfId="8973" xr:uid="{7DB02EBF-D6B9-4965-B195-BAD07215996A}"/>
    <cellStyle name="Normal 6 2 3 5" xfId="6681" xr:uid="{9A7C48B1-FC6E-473A-99AF-3D10007EC3F1}"/>
    <cellStyle name="Normal 6 2 4" xfId="2218" xr:uid="{773FEA4C-46B3-4578-BAF9-118E77BDADF4}"/>
    <cellStyle name="Normal 6 2 4 2" xfId="3231" xr:uid="{F5C8CB32-9C0D-4805-A358-3AABAB5E3F17}"/>
    <cellStyle name="Normal 6 2 4 2 2" xfId="5655" xr:uid="{FBD78B90-AE67-4116-A495-5A46C58B2CE3}"/>
    <cellStyle name="Normal 6 2 4 2 2 2" xfId="10223" xr:uid="{3B2BB162-CC4E-42D2-8B80-A694583C7EE6}"/>
    <cellStyle name="Normal 6 2 4 2 3" xfId="7931" xr:uid="{4CF172E2-6B47-4EDC-A5A8-510545F5C83F}"/>
    <cellStyle name="Normal 6 2 4 3" xfId="4646" xr:uid="{A22F16DF-4EF6-432A-985E-840913DEAFFF}"/>
    <cellStyle name="Normal 6 2 4 3 2" xfId="9214" xr:uid="{D5186830-E837-4EF5-967C-90200CD8FA68}"/>
    <cellStyle name="Normal 6 2 4 4" xfId="6922" xr:uid="{44585175-041F-47C2-B8CB-8FF807B8F7E2}"/>
    <cellStyle name="Normal 6 2 5" xfId="2800" xr:uid="{278006AB-6131-4554-83F3-D43AA9992367}"/>
    <cellStyle name="Normal 6 2 5 2" xfId="5225" xr:uid="{60351788-D9F8-4003-8F5C-77BEEB437CC5}"/>
    <cellStyle name="Normal 6 2 5 2 2" xfId="9793" xr:uid="{AFA834A0-D309-4205-9172-F053A953D538}"/>
    <cellStyle name="Normal 6 2 5 3" xfId="7501" xr:uid="{2C27A60C-E2A5-40B6-A586-72358153BE53}"/>
    <cellStyle name="Normal 6 2 6" xfId="4215" xr:uid="{5C864816-5F66-4292-98CE-5F1F3DB18EB5}"/>
    <cellStyle name="Normal 6 2 6 2" xfId="8784" xr:uid="{3A5D7A75-FB53-4385-9B17-010BB280D8DE}"/>
    <cellStyle name="Normal 6 2 7" xfId="6493" xr:uid="{073023BA-4481-42F3-860F-DB3D12DAB9C0}"/>
    <cellStyle name="Normal 6 2 8" xfId="1573" xr:uid="{5E4664E1-C334-4345-990C-51C6AC346A0B}"/>
    <cellStyle name="Normal 6 3" xfId="668" xr:uid="{00000000-0005-0000-0000-0000DC030000}"/>
    <cellStyle name="Normal 6 3 2" xfId="1862" xr:uid="{0CAFAE41-F037-4CC5-9D7F-E6A42BF3CE26}"/>
    <cellStyle name="Normal 6 3 2 2" xfId="2409" xr:uid="{1E50E40F-6568-4390-A0E8-205E6AFA2230}"/>
    <cellStyle name="Normal 6 3 2 2 2" xfId="3420" xr:uid="{D0C64D71-A161-4228-B3B5-36ABFB327EA6}"/>
    <cellStyle name="Normal 6 3 2 2 2 2" xfId="5844" xr:uid="{68EFE364-D192-426B-AB5F-E4F8E519E292}"/>
    <cellStyle name="Normal 6 3 2 2 2 2 2" xfId="10412" xr:uid="{EBFAAB45-1B6B-4978-AB02-57EA4BD34170}"/>
    <cellStyle name="Normal 6 3 2 2 2 3" xfId="8120" xr:uid="{B569B42E-75A2-4D6C-A53C-DCF0CFA96FCA}"/>
    <cellStyle name="Normal 6 3 2 2 3" xfId="4835" xr:uid="{888B1608-A96B-407A-B97C-5646D378409C}"/>
    <cellStyle name="Normal 6 3 2 2 3 2" xfId="9403" xr:uid="{A95B6A91-19FC-4ED2-A591-4FA6EEE75F45}"/>
    <cellStyle name="Normal 6 3 2 2 4" xfId="7111" xr:uid="{550B9111-BFFF-4789-81BA-AC48EC718A5D}"/>
    <cellStyle name="Normal 6 3 2 3" xfId="2992" xr:uid="{270202BA-949F-4B64-A5EB-1BA29E8361E7}"/>
    <cellStyle name="Normal 6 3 2 3 2" xfId="5416" xr:uid="{CF123DCD-5C6A-47C4-8962-0F5B46EFEA1F}"/>
    <cellStyle name="Normal 6 3 2 3 2 2" xfId="9984" xr:uid="{E05A3F16-3005-486F-A437-FAFC24B6A5F2}"/>
    <cellStyle name="Normal 6 3 2 3 3" xfId="7692" xr:uid="{B25864F8-3DEE-420E-8756-3785266FCB76}"/>
    <cellStyle name="Normal 6 3 2 4" xfId="4407" xr:uid="{11BADF80-480B-4377-8DED-BBFCAB046D3D}"/>
    <cellStyle name="Normal 6 3 2 4 2" xfId="8975" xr:uid="{5D0B86C2-FD56-4277-8530-1539AC832460}"/>
    <cellStyle name="Normal 6 3 2 5" xfId="6683" xr:uid="{D821027D-2D67-473E-A1C9-4D7C7F07905E}"/>
    <cellStyle name="Normal 6 3 3" xfId="2220" xr:uid="{5ED39458-3A44-480A-B3EA-B428D4A19CE1}"/>
    <cellStyle name="Normal 6 3 3 2" xfId="3233" xr:uid="{3D7307AB-C649-4FCA-8978-27DDB95AF316}"/>
    <cellStyle name="Normal 6 3 3 2 2" xfId="5657" xr:uid="{00FC08EA-2B82-4816-9F53-FAD9789E2933}"/>
    <cellStyle name="Normal 6 3 3 2 2 2" xfId="10225" xr:uid="{EC6E09E9-03AE-4D53-945A-DA742DD3CA4C}"/>
    <cellStyle name="Normal 6 3 3 2 3" xfId="7933" xr:uid="{0ADB41E7-C3BB-4F84-920A-2995FB801096}"/>
    <cellStyle name="Normal 6 3 3 3" xfId="4648" xr:uid="{9AF76C45-8651-4E6D-B2F1-2DCBB0A43794}"/>
    <cellStyle name="Normal 6 3 3 3 2" xfId="9216" xr:uid="{9C3D6ECF-D413-435D-A88C-A7A988F326B2}"/>
    <cellStyle name="Normal 6 3 3 4" xfId="6924" xr:uid="{489130C5-8E39-4DDA-B23C-B3FD1F6FEAF9}"/>
    <cellStyle name="Normal 6 3 4" xfId="2802" xr:uid="{4932BF53-A3CB-475C-BD3A-05771210DA13}"/>
    <cellStyle name="Normal 6 3 4 2" xfId="5227" xr:uid="{2F6E67E3-ECE4-4203-AD93-B5710E44C711}"/>
    <cellStyle name="Normal 6 3 4 2 2" xfId="9795" xr:uid="{501F10A1-3A4A-485F-AA28-ABF998DFF7AC}"/>
    <cellStyle name="Normal 6 3 4 3" xfId="7503" xr:uid="{5727EB36-C16E-4BB8-BB88-43726490ADF2}"/>
    <cellStyle name="Normal 6 3 5" xfId="4217" xr:uid="{B4A6FB21-B6F9-4E39-AC73-AF728ED17D2F}"/>
    <cellStyle name="Normal 6 3 5 2" xfId="8786" xr:uid="{11883BD6-4489-4D02-93B9-0793ED68FC87}"/>
    <cellStyle name="Normal 6 3 6" xfId="6495" xr:uid="{DDCF3FD8-3814-40AC-A0C4-0F17874A3319}"/>
    <cellStyle name="Normal 6 3 7" xfId="1575" xr:uid="{EB641053-88CE-4F73-A2F0-813BD39BB6BF}"/>
    <cellStyle name="Normal 6 4" xfId="1859" xr:uid="{7D8A3D97-66F3-40F4-B250-9A84D741CDB7}"/>
    <cellStyle name="Normal 6 4 2" xfId="2406" xr:uid="{1844205B-306E-47CA-929B-FAEEA60B0195}"/>
    <cellStyle name="Normal 6 4 2 2" xfId="3417" xr:uid="{26DDF36E-D477-4491-847F-EB1E07880742}"/>
    <cellStyle name="Normal 6 4 2 2 2" xfId="5841" xr:uid="{6CDC701D-E731-4D24-BF42-21058058A0E9}"/>
    <cellStyle name="Normal 6 4 2 2 2 2" xfId="10409" xr:uid="{51D6B1A0-212D-4AFC-8AB4-90CF0419FC10}"/>
    <cellStyle name="Normal 6 4 2 2 3" xfId="8117" xr:uid="{EC7CA508-CE2D-4E70-BBE1-ECFA4BFE9EF0}"/>
    <cellStyle name="Normal 6 4 2 3" xfId="4832" xr:uid="{A963C16B-BEDE-4A7D-A189-9CD4E2670DDB}"/>
    <cellStyle name="Normal 6 4 2 3 2" xfId="9400" xr:uid="{E407EBF9-3F6C-4149-A9AD-3E126B7DEC69}"/>
    <cellStyle name="Normal 6 4 2 4" xfId="7108" xr:uid="{3C63F1F1-64A1-4DB9-9DC8-8C29C2CB0D9E}"/>
    <cellStyle name="Normal 6 4 3" xfId="2989" xr:uid="{6EB9AA1E-6CBF-4BEF-AD51-6BACD9092042}"/>
    <cellStyle name="Normal 6 4 3 2" xfId="5413" xr:uid="{85C80DBF-E202-4F6C-8F83-02C65CA1DD0D}"/>
    <cellStyle name="Normal 6 4 3 2 2" xfId="9981" xr:uid="{64F25026-F870-4DD5-9618-2484F8E2A3DF}"/>
    <cellStyle name="Normal 6 4 3 3" xfId="7689" xr:uid="{3A48D710-A433-4CF0-8ACF-1C865A71FC6E}"/>
    <cellStyle name="Normal 6 4 4" xfId="4404" xr:uid="{5DF1F9FF-5C1D-4F84-A6AB-A27842E56601}"/>
    <cellStyle name="Normal 6 4 4 2" xfId="8972" xr:uid="{8397D771-985C-4B0B-A142-4922AAEB9337}"/>
    <cellStyle name="Normal 6 4 5" xfId="6680" xr:uid="{F2AF6EBB-551D-4591-BE8A-D52AFADFEDF1}"/>
    <cellStyle name="Normal 6 5" xfId="2217" xr:uid="{F1DB6FB9-C64B-4A03-98DA-40096DC36B19}"/>
    <cellStyle name="Normal 6 5 2" xfId="3230" xr:uid="{BCFB8AD2-1E7F-4D9E-9EB2-800B53DA478C}"/>
    <cellStyle name="Normal 6 5 2 2" xfId="5654" xr:uid="{873D72AE-40CE-4AE0-A009-7E51DC725486}"/>
    <cellStyle name="Normal 6 5 2 2 2" xfId="10222" xr:uid="{E814B33B-D232-4792-AF30-21BB69769F13}"/>
    <cellStyle name="Normal 6 5 2 3" xfId="7930" xr:uid="{6862018F-A4A4-42AF-8EAB-BEC812DFAE6F}"/>
    <cellStyle name="Normal 6 5 3" xfId="4645" xr:uid="{EE0B6D5C-47B3-4E74-B791-DBF72B0B3964}"/>
    <cellStyle name="Normal 6 5 3 2" xfId="9213" xr:uid="{A959002C-B4E2-4078-BF5F-1ED7DD041EFE}"/>
    <cellStyle name="Normal 6 5 4" xfId="6921" xr:uid="{CF2A213D-6ED4-42BA-9042-9DA36FC890E3}"/>
    <cellStyle name="Normal 6 6" xfId="2799" xr:uid="{D5FF7746-74E4-461C-90EB-CA4CA5A7AC3F}"/>
    <cellStyle name="Normal 6 6 2" xfId="5224" xr:uid="{68508CBB-84D6-4CD3-86BD-191D35A718DD}"/>
    <cellStyle name="Normal 6 6 2 2" xfId="9792" xr:uid="{8C494E16-EEC6-4DC5-A986-F1C27CB378AB}"/>
    <cellStyle name="Normal 6 6 3" xfId="7500" xr:uid="{FC55568A-44C6-4E94-B739-06FC1A16E41D}"/>
    <cellStyle name="Normal 6 7" xfId="4214" xr:uid="{C943B96F-CD44-4D1D-AE90-67E46238900A}"/>
    <cellStyle name="Normal 6 7 2" xfId="8783" xr:uid="{CD497724-2142-443D-8850-D25D389C66D4}"/>
    <cellStyle name="Normal 6 8" xfId="6492" xr:uid="{B2062B02-D5F4-484B-AB22-2A1865318CF5}"/>
    <cellStyle name="Normal 6 9" xfId="1572" xr:uid="{79A1A20D-5D78-40D7-A979-0209BF640590}"/>
    <cellStyle name="Normal 60" xfId="1309" xr:uid="{42E27FC2-B343-4CF3-ABEE-7A2E961EEB89}"/>
    <cellStyle name="Normal 60 2" xfId="5054" xr:uid="{4B97D958-8374-4550-B080-1BAE070A1A39}"/>
    <cellStyle name="Normal 60 2 2" xfId="9622" xr:uid="{38AA8026-44BB-431C-AF2D-7F0A2B35641E}"/>
    <cellStyle name="Normal 60 3" xfId="7330" xr:uid="{DC70CC6B-FDE8-4330-9889-518535A011BB}"/>
    <cellStyle name="Normal 60 4" xfId="2628" xr:uid="{07CFBB68-5829-4BE1-90F1-35382ED98A5F}"/>
    <cellStyle name="Normal 61" xfId="1311" xr:uid="{349CE87D-D03E-4345-8D96-809FAA536B34}"/>
    <cellStyle name="Normal 61 2" xfId="5055" xr:uid="{379093E3-907E-465A-9D90-CD2BBDF7EC83}"/>
    <cellStyle name="Normal 61 2 2" xfId="9623" xr:uid="{D3E36A85-29F5-482E-8895-F94B957C0B5A}"/>
    <cellStyle name="Normal 61 3" xfId="7331" xr:uid="{E8B69FAD-FB31-4234-A6D0-FD15647E61BD}"/>
    <cellStyle name="Normal 61 4" xfId="2629" xr:uid="{017C4C8C-DDB0-4ABD-B18F-E37F561F439F}"/>
    <cellStyle name="Normal 62" xfId="1318" xr:uid="{9A21F598-6E27-4B5D-AEDD-791315E56F3F}"/>
    <cellStyle name="Normal 62 2" xfId="5056" xr:uid="{96BD65EC-2DA3-4BD4-937F-28B17A733AF2}"/>
    <cellStyle name="Normal 62 2 2" xfId="9624" xr:uid="{76D76A57-BDD5-46F8-A572-0B5A67F34CA4}"/>
    <cellStyle name="Normal 62 3" xfId="7332" xr:uid="{A5CCD611-96CE-499C-A1E9-1792B721E766}"/>
    <cellStyle name="Normal 62 4" xfId="2630" xr:uid="{F17FDCE1-D140-4E54-ABC6-564F024A03CA}"/>
    <cellStyle name="Normal 63" xfId="1329" xr:uid="{1C8CF9A6-E44D-4348-B0B9-A2208E7F353A}"/>
    <cellStyle name="Normal 63 2" xfId="5057" xr:uid="{BF7DA1EB-76EB-4084-A7D4-C065A4CFF8ED}"/>
    <cellStyle name="Normal 63 2 2" xfId="9625" xr:uid="{ADBC74D6-E030-4271-9550-61153B4E3AC5}"/>
    <cellStyle name="Normal 63 3" xfId="7333" xr:uid="{83885B52-DFF5-4AC4-A561-69BA11878CF0}"/>
    <cellStyle name="Normal 63 4" xfId="2631" xr:uid="{B9D50E5D-16D6-40E8-A7F4-D1D5A90E8AD7}"/>
    <cellStyle name="Normal 64" xfId="1331" xr:uid="{026E9151-07F0-4B82-AAE5-74891251F351}"/>
    <cellStyle name="Normal 64 2" xfId="5058" xr:uid="{77F5A5E9-B3BF-4B2F-8CE7-1B4E548FE94D}"/>
    <cellStyle name="Normal 64 2 2" xfId="9626" xr:uid="{3A4244A4-1955-4428-B120-5341249B500E}"/>
    <cellStyle name="Normal 64 3" xfId="7334" xr:uid="{ECD8EBA7-46A5-4258-9C43-463A988ADE14}"/>
    <cellStyle name="Normal 64 4" xfId="2632" xr:uid="{330100B0-A4B7-4731-B3C4-FB0EA4B5BC52}"/>
    <cellStyle name="Normal 65" xfId="1333" xr:uid="{560D1CB2-D530-4EFA-979C-DDCC78C80007}"/>
    <cellStyle name="Normal 65 2" xfId="5059" xr:uid="{0ABA3E34-AEAE-4EB1-806C-2EF86F8358E3}"/>
    <cellStyle name="Normal 65 2 2" xfId="9627" xr:uid="{50F10B82-5B3B-4C17-B9D6-3737FE6A3DFB}"/>
    <cellStyle name="Normal 65 3" xfId="7335" xr:uid="{D2AD3917-0582-4978-88BA-5A25C5A80017}"/>
    <cellStyle name="Normal 65 4" xfId="2633" xr:uid="{3C1BE053-35EF-4D63-A923-485015833183}"/>
    <cellStyle name="Normal 66" xfId="2634" xr:uid="{1DD76A3E-B69E-456B-9544-D13DFD2D4313}"/>
    <cellStyle name="Normal 66 2" xfId="5060" xr:uid="{CBC4E5CC-50B5-4C59-BF74-2BED4ECC3B4A}"/>
    <cellStyle name="Normal 66 2 2" xfId="9628" xr:uid="{090CC70A-BDD4-4ABE-BF81-30C7F14BA2C7}"/>
    <cellStyle name="Normal 66 3" xfId="7336" xr:uid="{5B737111-8C4E-4425-9A79-0BA96D9B86AA}"/>
    <cellStyle name="Normal 67" xfId="2635" xr:uid="{9E45AC6F-2C48-4C1D-AC84-3E155E6E959F}"/>
    <cellStyle name="Normal 67 2" xfId="5061" xr:uid="{FE03D245-0E78-4F38-BAD2-E56192B2DA2B}"/>
    <cellStyle name="Normal 67 2 2" xfId="9629" xr:uid="{EE95F857-9971-4685-B7C1-E3EB8FF4D6F3}"/>
    <cellStyle name="Normal 67 3" xfId="7337" xr:uid="{BCB48301-4BF1-40C5-8769-D73692636EFC}"/>
    <cellStyle name="Normal 68" xfId="1334" xr:uid="{55593749-1DCF-4264-968F-116AD3D4FADD}"/>
    <cellStyle name="Normal 68 2" xfId="5062" xr:uid="{82ABB5A2-6D15-4561-9DB4-A1F9C5125992}"/>
    <cellStyle name="Normal 68 2 2" xfId="9630" xr:uid="{82814F72-1DB1-4D2D-AA7B-7A6B68380D5F}"/>
    <cellStyle name="Normal 68 3" xfId="7338" xr:uid="{E216AAB0-F27C-471E-AA25-B8E5C85CD103}"/>
    <cellStyle name="Normal 68 4" xfId="2636" xr:uid="{4CB0F66A-4E75-45E7-8D7F-DE471D304078}"/>
    <cellStyle name="Normal 69" xfId="1335" xr:uid="{9BBEE369-8B78-423A-92F2-F937FC980353}"/>
    <cellStyle name="Normal 69 2" xfId="5063" xr:uid="{15847502-C527-47D8-ACC3-D7B4E53D441C}"/>
    <cellStyle name="Normal 69 2 2" xfId="9631" xr:uid="{640D7E4B-8238-4B2D-8C87-361EEB621EE0}"/>
    <cellStyle name="Normal 69 3" xfId="7339" xr:uid="{13C7B1E3-94C8-4A03-802F-D3A6E209809F}"/>
    <cellStyle name="Normal 69 4" xfId="2637" xr:uid="{75556458-38EF-42B3-ACB5-C0E232C48845}"/>
    <cellStyle name="Normal 7" xfId="669" xr:uid="{00000000-0005-0000-0000-0000DD030000}"/>
    <cellStyle name="Normal 7 2" xfId="670" xr:uid="{00000000-0005-0000-0000-0000DE030000}"/>
    <cellStyle name="Normal 70" xfId="1337" xr:uid="{44ED49C1-88F7-4CBA-B0C9-31EB41A6019E}"/>
    <cellStyle name="Normal 70 2" xfId="5064" xr:uid="{FF8CBABF-BE44-4549-8572-70146345F722}"/>
    <cellStyle name="Normal 70 2 2" xfId="9632" xr:uid="{8BB6348F-A129-4F05-B0DC-D010DE3F96A5}"/>
    <cellStyle name="Normal 70 3" xfId="7340" xr:uid="{4EC02BAE-2DFE-4D94-9695-EB16A262AC1E}"/>
    <cellStyle name="Normal 70 4" xfId="2638" xr:uid="{2E536638-395B-41B0-86E3-8A0A2FF03ABF}"/>
    <cellStyle name="Normal 71" xfId="2639" xr:uid="{753B26EB-E719-4D79-940E-0E2DBCE48395}"/>
    <cellStyle name="Normal 71 2" xfId="5065" xr:uid="{CD497BCC-D926-4368-9987-A9776A909DC5}"/>
    <cellStyle name="Normal 71 2 2" xfId="9633" xr:uid="{D76A61FC-7702-42F0-B53B-A6CCE2A905FB}"/>
    <cellStyle name="Normal 71 3" xfId="7341" xr:uid="{FAB891CC-FAB7-439D-AEF9-1B6544B24833}"/>
    <cellStyle name="Normal 72" xfId="1339" xr:uid="{F534A57E-696D-412C-957B-A8BAD43C29EB}"/>
    <cellStyle name="Normal 72 2" xfId="5066" xr:uid="{623E5536-CD64-4BA4-A08C-247C54C63F93}"/>
    <cellStyle name="Normal 72 2 2" xfId="9634" xr:uid="{42DB40EB-473B-4E84-A4FB-DBC3A853B3E5}"/>
    <cellStyle name="Normal 72 3" xfId="7342" xr:uid="{5C5B777A-ED97-4D13-8BF8-59EA4048F46D}"/>
    <cellStyle name="Normal 72 4" xfId="2640" xr:uid="{60CA7320-358B-48F2-829A-ABAE8505E0BC}"/>
    <cellStyle name="Normal 73" xfId="1341" xr:uid="{D8BB2BA0-EBFA-4962-BF37-79A98190E380}"/>
    <cellStyle name="Normal 73 2" xfId="5067" xr:uid="{ECB0D2F4-ACE6-40D2-BD71-C13354B45AB7}"/>
    <cellStyle name="Normal 73 2 2" xfId="9635" xr:uid="{344164FF-D359-4916-B3D9-727CDE439218}"/>
    <cellStyle name="Normal 73 3" xfId="7343" xr:uid="{E66DBB73-38DE-4715-BC1D-2C587213854F}"/>
    <cellStyle name="Normal 73 4" xfId="2641" xr:uid="{8597CB87-1B0F-441A-A8AF-FC8ECF1B4AAF}"/>
    <cellStyle name="Normal 74" xfId="2642" xr:uid="{96ED28F2-B2F1-44F4-B208-8004BEE02EEC}"/>
    <cellStyle name="Normal 74 2" xfId="5068" xr:uid="{88A6823C-97F6-46AC-B2EE-31DBDDF4F61D}"/>
    <cellStyle name="Normal 74 2 2" xfId="9636" xr:uid="{70A39CC7-C204-455C-8FC8-FF0891C85D65}"/>
    <cellStyle name="Normal 74 3" xfId="7344" xr:uid="{2CE2E672-F53D-4830-AF6E-8435C970C0C8}"/>
    <cellStyle name="Normal 75" xfId="1349" xr:uid="{8274E13F-9C56-4BDC-8A48-5CDC0E044155}"/>
    <cellStyle name="Normal 75 2" xfId="5069" xr:uid="{B226A09A-55A3-4239-A264-29D03B3117E5}"/>
    <cellStyle name="Normal 75 2 2" xfId="9637" xr:uid="{B7983428-23FD-4E4B-B539-4C9D58C90E1E}"/>
    <cellStyle name="Normal 75 3" xfId="7345" xr:uid="{6B703078-1F04-4EC7-BD6E-1C7BAE879C08}"/>
    <cellStyle name="Normal 75 4" xfId="2643" xr:uid="{85FFBDF8-4021-4065-86C9-9550964DF255}"/>
    <cellStyle name="Normal 76" xfId="2644" xr:uid="{DA299701-A9AE-4D8C-961B-3C443BCBD544}"/>
    <cellStyle name="Normal 76 2" xfId="5070" xr:uid="{DCDA0179-44EA-46A5-BD8A-B5EFFA8FBE2A}"/>
    <cellStyle name="Normal 76 2 2" xfId="9638" xr:uid="{6321DAFF-A29B-4F86-8BF0-82D35DDE9337}"/>
    <cellStyle name="Normal 76 3" xfId="7346" xr:uid="{01BC0E08-E1EC-4418-81D3-CF05A4C8D8D1}"/>
    <cellStyle name="Normal 77" xfId="2645" xr:uid="{73F9C6A6-7825-428A-BE3E-72EFF039377A}"/>
    <cellStyle name="Normal 77 2" xfId="5071" xr:uid="{F12FF257-3C03-4F98-B82F-29C27139DC3F}"/>
    <cellStyle name="Normal 77 2 2" xfId="9639" xr:uid="{0988819C-5FC9-4F39-8E19-5F350F98580C}"/>
    <cellStyle name="Normal 77 3" xfId="7347" xr:uid="{1BF21A83-2DA5-497B-BBC0-11098D2D6477}"/>
    <cellStyle name="Normal 78" xfId="2646" xr:uid="{BECD202A-4BBF-4698-9AD6-4A9032909BEF}"/>
    <cellStyle name="Normal 78 2" xfId="5072" xr:uid="{45712292-7C73-419A-9721-91AC262D6C92}"/>
    <cellStyle name="Normal 78 2 2" xfId="9640" xr:uid="{32B216EE-CEA6-4040-B3B3-C3E2D21CD603}"/>
    <cellStyle name="Normal 78 3" xfId="7348" xr:uid="{EEA6F55E-2BF5-4D64-9CB2-D1BD239342C9}"/>
    <cellStyle name="Normal 79" xfId="1344" xr:uid="{03F02105-D776-4F80-BDEA-236E6CC7BEA3}"/>
    <cellStyle name="Normal 79 2" xfId="5073" xr:uid="{ED076F2A-2C0C-48B5-8B64-8C394E8A1F19}"/>
    <cellStyle name="Normal 79 2 2" xfId="9641" xr:uid="{05571F3B-8BB4-43B8-B2EB-E236716732D0}"/>
    <cellStyle name="Normal 79 3" xfId="7349" xr:uid="{7C77F59F-58F8-46A5-B264-4AC51249A9FE}"/>
    <cellStyle name="Normal 79 4" xfId="2647" xr:uid="{A4FBE175-739F-45CA-BCCB-5649C61D8093}"/>
    <cellStyle name="Normal 8" xfId="671" xr:uid="{00000000-0005-0000-0000-0000DF030000}"/>
    <cellStyle name="Normal 8 2" xfId="672" xr:uid="{00000000-0005-0000-0000-0000E0030000}"/>
    <cellStyle name="Normal 8 2 2" xfId="673" xr:uid="{00000000-0005-0000-0000-0000E1030000}"/>
    <cellStyle name="Normal 8 2 2 2" xfId="1865" xr:uid="{2943246D-B3D6-45AE-A65B-70D0BE4F9384}"/>
    <cellStyle name="Normal 8 2 2 2 2" xfId="2411" xr:uid="{6C4E1C1C-74EC-4045-88FB-C3927C567BDF}"/>
    <cellStyle name="Normal 8 2 2 2 2 2" xfId="3422" xr:uid="{4160C471-2C12-4ED4-BD29-B1C707155AE6}"/>
    <cellStyle name="Normal 8 2 2 2 2 2 2" xfId="5846" xr:uid="{E9785C98-FE7C-4DEB-8C8B-13F38976F0BB}"/>
    <cellStyle name="Normal 8 2 2 2 2 2 2 2" xfId="10414" xr:uid="{1FAF858B-21FB-463B-91E4-9FEDA2BF6DB5}"/>
    <cellStyle name="Normal 8 2 2 2 2 2 3" xfId="8122" xr:uid="{2CD9CC91-FEAB-4028-9F6A-7D34125B4920}"/>
    <cellStyle name="Normal 8 2 2 2 2 3" xfId="4837" xr:uid="{36897F6D-3859-45D9-A1B4-3CC93335A695}"/>
    <cellStyle name="Normal 8 2 2 2 2 3 2" xfId="9405" xr:uid="{888EE7BC-2416-4F8B-8195-8A39457E0458}"/>
    <cellStyle name="Normal 8 2 2 2 2 4" xfId="7113" xr:uid="{184271C2-BA16-4219-A7E0-CBEE56671AC4}"/>
    <cellStyle name="Normal 8 2 2 2 3" xfId="2994" xr:uid="{60EFB3AB-B256-4E7B-AD25-7B360EFA0934}"/>
    <cellStyle name="Normal 8 2 2 2 3 2" xfId="5418" xr:uid="{44938B9A-D7AB-49DA-AF6D-BFD04B5F12AF}"/>
    <cellStyle name="Normal 8 2 2 2 3 2 2" xfId="9986" xr:uid="{95AE756B-B8C6-4644-9660-0D3CFF57EB60}"/>
    <cellStyle name="Normal 8 2 2 2 3 3" xfId="7694" xr:uid="{D4C9C98B-62D6-4629-9663-B2EB2DF2EC3A}"/>
    <cellStyle name="Normal 8 2 2 2 4" xfId="4409" xr:uid="{AFAD6827-A786-418A-8DC0-8B2DACFC40F5}"/>
    <cellStyle name="Normal 8 2 2 2 4 2" xfId="8977" xr:uid="{F355E288-B463-4437-B6F0-E5996E09E6F7}"/>
    <cellStyle name="Normal 8 2 2 2 5" xfId="6685" xr:uid="{1F895BC7-4606-4A58-8563-B42D36D48B41}"/>
    <cellStyle name="Normal 8 2 2 3" xfId="2222" xr:uid="{70AFBE4E-99BB-4B71-A4D8-3C5CE629A483}"/>
    <cellStyle name="Normal 8 2 2 3 2" xfId="3235" xr:uid="{EFE6F491-30FC-4816-93FF-6C8B96AA7C27}"/>
    <cellStyle name="Normal 8 2 2 3 2 2" xfId="5659" xr:uid="{624EF4BA-4A47-40D3-96BD-533A2301E264}"/>
    <cellStyle name="Normal 8 2 2 3 2 2 2" xfId="10227" xr:uid="{2F4156C6-C524-4D47-8FB3-B26188C1A64E}"/>
    <cellStyle name="Normal 8 2 2 3 2 3" xfId="7935" xr:uid="{27A15BC9-ACFC-4037-BCF1-E135A04CEF5D}"/>
    <cellStyle name="Normal 8 2 2 3 3" xfId="4650" xr:uid="{6BA5C1B9-D897-4BF4-A92F-7B7F92927C6B}"/>
    <cellStyle name="Normal 8 2 2 3 3 2" xfId="9218" xr:uid="{213E2E95-9217-4DD0-9032-8D1915C9287E}"/>
    <cellStyle name="Normal 8 2 2 3 4" xfId="6926" xr:uid="{0D4D71D5-C6D8-443C-9B11-83F770C5CB1B}"/>
    <cellStyle name="Normal 8 2 2 4" xfId="2804" xr:uid="{FE165382-7177-4AF9-A63C-6FB37AD76B62}"/>
    <cellStyle name="Normal 8 2 2 4 2" xfId="5229" xr:uid="{11C36006-16FB-4C0A-B8BB-90719CBF408E}"/>
    <cellStyle name="Normal 8 2 2 4 2 2" xfId="9797" xr:uid="{5E3813BF-95FA-4D5E-AA1A-EAC1C1264AB2}"/>
    <cellStyle name="Normal 8 2 2 4 3" xfId="7505" xr:uid="{84B4F466-AA07-482A-B5CD-0AA174DCA176}"/>
    <cellStyle name="Normal 8 2 2 5" xfId="4219" xr:uid="{0DF39BA4-351C-4F32-AEBB-7308AFC784E3}"/>
    <cellStyle name="Normal 8 2 2 5 2" xfId="8788" xr:uid="{3FCB9245-7AC2-48C8-A549-EE43F52B21B9}"/>
    <cellStyle name="Normal 8 2 2 6" xfId="6497" xr:uid="{912E22E8-7417-40F4-B7EB-F5E22645924D}"/>
    <cellStyle name="Normal 8 2 2 7" xfId="1577" xr:uid="{8F4F2AA8-EDF0-40C9-8F76-1003062F17F9}"/>
    <cellStyle name="Normal 8 2 3" xfId="1864" xr:uid="{A35B66D2-A7E2-412C-A3AB-8DE637A9E85C}"/>
    <cellStyle name="Normal 8 2 3 2" xfId="2410" xr:uid="{4E8CE53A-77D7-4A34-ABB1-79001C3F1EB1}"/>
    <cellStyle name="Normal 8 2 3 2 2" xfId="3421" xr:uid="{4C40C49B-598D-436F-BEC4-FDCB725B85F4}"/>
    <cellStyle name="Normal 8 2 3 2 2 2" xfId="5845" xr:uid="{D64765E0-EF2A-46F9-BD5E-E48B33D4D306}"/>
    <cellStyle name="Normal 8 2 3 2 2 2 2" xfId="10413" xr:uid="{EDBF3795-080E-4312-937E-676E33C01CD6}"/>
    <cellStyle name="Normal 8 2 3 2 2 3" xfId="8121" xr:uid="{99D8CDBE-B5DB-4D92-833B-0DFF2C3C4F20}"/>
    <cellStyle name="Normal 8 2 3 2 3" xfId="4836" xr:uid="{AA087F5A-7AC4-48A5-9C3D-BDE476B97FD3}"/>
    <cellStyle name="Normal 8 2 3 2 3 2" xfId="9404" xr:uid="{039921A4-8361-43E4-9436-3F5AC0BCAFF9}"/>
    <cellStyle name="Normal 8 2 3 2 4" xfId="7112" xr:uid="{43B2131A-D5A3-4812-A995-D343DCB77320}"/>
    <cellStyle name="Normal 8 2 3 3" xfId="2993" xr:uid="{34181A00-DF35-4BEB-A024-2C72CBE5AA5F}"/>
    <cellStyle name="Normal 8 2 3 3 2" xfId="5417" xr:uid="{24E5D7EC-7167-4C15-A839-9D6509400C38}"/>
    <cellStyle name="Normal 8 2 3 3 2 2" xfId="9985" xr:uid="{EC7B4F70-A6D1-49D6-9293-FE4D27BFC619}"/>
    <cellStyle name="Normal 8 2 3 3 3" xfId="7693" xr:uid="{A03CAB29-884A-45E7-ABB5-1EC8F14BC460}"/>
    <cellStyle name="Normal 8 2 3 4" xfId="4408" xr:uid="{C0924899-1D89-44BD-AF75-E3E120243661}"/>
    <cellStyle name="Normal 8 2 3 4 2" xfId="8976" xr:uid="{2AAF99C1-EA2E-490B-AC18-88B41339F137}"/>
    <cellStyle name="Normal 8 2 3 5" xfId="6684" xr:uid="{06FBCEFE-FB2A-424B-BA99-0267FB942444}"/>
    <cellStyle name="Normal 8 2 4" xfId="2221" xr:uid="{976A049B-EB2C-45EF-8C16-89A4CC9448D6}"/>
    <cellStyle name="Normal 8 2 4 2" xfId="3234" xr:uid="{D23A1A09-00D2-4359-B29C-EC581701A30A}"/>
    <cellStyle name="Normal 8 2 4 2 2" xfId="5658" xr:uid="{7573077E-9D8E-4769-9209-739EFD134066}"/>
    <cellStyle name="Normal 8 2 4 2 2 2" xfId="10226" xr:uid="{A30774FE-2A3E-4329-A7DC-2F4B73B7D616}"/>
    <cellStyle name="Normal 8 2 4 2 3" xfId="7934" xr:uid="{B76F3D1A-E027-4CD5-8205-36390B4A4D6B}"/>
    <cellStyle name="Normal 8 2 4 3" xfId="4649" xr:uid="{2BF5D41B-22BD-4D7D-9824-73D0C0A03B18}"/>
    <cellStyle name="Normal 8 2 4 3 2" xfId="9217" xr:uid="{3D0A6247-D28C-4D34-87C4-7B5EACBDE504}"/>
    <cellStyle name="Normal 8 2 4 4" xfId="6925" xr:uid="{1BEDBCA0-A221-4F56-8257-D6FFF3F6CC6F}"/>
    <cellStyle name="Normal 8 2 5" xfId="2803" xr:uid="{4C867E43-28B6-4247-8650-53A6DEEBDAA3}"/>
    <cellStyle name="Normal 8 2 5 2" xfId="5228" xr:uid="{F9CED2E9-6D1A-47B3-9066-2233DFD5D794}"/>
    <cellStyle name="Normal 8 2 5 2 2" xfId="9796" xr:uid="{44F0529A-AAB2-46C4-9597-CFFF09BD27A4}"/>
    <cellStyle name="Normal 8 2 5 3" xfId="7504" xr:uid="{465EFE05-65D4-412A-B6A1-2349BCB25A86}"/>
    <cellStyle name="Normal 8 2 6" xfId="4218" xr:uid="{1EF67D95-4A0D-474A-87E8-9106DBE9CB01}"/>
    <cellStyle name="Normal 8 2 6 2" xfId="8787" xr:uid="{8373A99C-77C2-4B24-870F-459CEA400EFE}"/>
    <cellStyle name="Normal 8 2 7" xfId="6496" xr:uid="{EB180EC1-637C-4521-BA84-51CB41DA28BA}"/>
    <cellStyle name="Normal 8 2 8" xfId="1576" xr:uid="{9A7FD705-42EA-4F9B-AACE-A831FD2E592C}"/>
    <cellStyle name="Normal 80" xfId="2648" xr:uid="{C0C40D73-F7D7-48E3-B6CA-DA0BE16A7D29}"/>
    <cellStyle name="Normal 80 2" xfId="5074" xr:uid="{F3969733-7090-40C9-BBD5-699F55EB4B9C}"/>
    <cellStyle name="Normal 80 2 2" xfId="9642" xr:uid="{4BE9F15C-F2B6-4FB3-B1AD-F68B1646D3E6}"/>
    <cellStyle name="Normal 80 3" xfId="7350" xr:uid="{1E194906-C2F7-4273-9338-0CEA2F0AF5BF}"/>
    <cellStyle name="Normal 81" xfId="2649" xr:uid="{B36506E7-9D06-463C-AF28-CC9B16181E6A}"/>
    <cellStyle name="Normal 81 2" xfId="5075" xr:uid="{6F7B1739-298F-4155-AD01-991F5F3BC0F3}"/>
    <cellStyle name="Normal 81 2 2" xfId="9643" xr:uid="{F6323F60-A0EE-4D85-BF42-0FC4438F49D4}"/>
    <cellStyle name="Normal 81 3" xfId="7351" xr:uid="{BC666D13-D55D-4838-AD4B-0D904600131B}"/>
    <cellStyle name="Normal 82" xfId="1347" xr:uid="{EF50580B-7F03-423E-86C4-BCFC9181916F}"/>
    <cellStyle name="Normal 82 2" xfId="5076" xr:uid="{FC07E647-C97D-46E1-942D-3FB1F629B03B}"/>
    <cellStyle name="Normal 82 2 2" xfId="9644" xr:uid="{6D1A0C01-53AD-44C7-B43F-D7183C0DEB36}"/>
    <cellStyle name="Normal 82 3" xfId="7352" xr:uid="{A3F5133B-7B4A-4C54-86E4-B2733350CEEB}"/>
    <cellStyle name="Normal 82 4" xfId="2650" xr:uid="{42C852A1-68C3-4D73-BE29-D7A7950EC3A3}"/>
    <cellStyle name="Normal 83" xfId="2651" xr:uid="{8E349E37-C196-4135-95B1-D5525C700FDE}"/>
    <cellStyle name="Normal 83 2" xfId="5077" xr:uid="{4154154F-21BA-4E26-B4AB-DC60F7BD017E}"/>
    <cellStyle name="Normal 83 2 2" xfId="9645" xr:uid="{01C7F1BC-B9EE-4A6C-BD11-857557763862}"/>
    <cellStyle name="Normal 83 3" xfId="7353" xr:uid="{D34C5FD6-50B4-4DEC-8237-29AC00FE17E0}"/>
    <cellStyle name="Normal 84" xfId="2652" xr:uid="{8A76E8F7-6C13-4BB0-A73E-A1CFDC71EECE}"/>
    <cellStyle name="Normal 84 2" xfId="5078" xr:uid="{02A20F15-609E-49DC-BD10-1D031EF25835}"/>
    <cellStyle name="Normal 84 2 2" xfId="9646" xr:uid="{947D1370-D6FF-4F24-894A-61162BE7EEAB}"/>
    <cellStyle name="Normal 84 3" xfId="7354" xr:uid="{0AF76D11-EAA7-44D7-A649-D635D92ADDBA}"/>
    <cellStyle name="Normal 85" xfId="2663" xr:uid="{64A746E2-F017-4D23-ACCE-8D831BEC9BD3}"/>
    <cellStyle name="Normal 85 2" xfId="1243" xr:uid="{00000000-0005-0000-0000-0000E2030000}"/>
    <cellStyle name="Normal 85 3" xfId="5089" xr:uid="{AF90A19D-C842-43C9-8EAB-DF736ABF437A}"/>
    <cellStyle name="Normal 85 3 2" xfId="9657" xr:uid="{6F7AC79E-2A3F-4D9F-8139-70BFEB01955D}"/>
    <cellStyle name="Normal 85 4" xfId="7365" xr:uid="{611D1E34-DE89-4071-83CD-026E60C58770}"/>
    <cellStyle name="Normal 86" xfId="1304" xr:uid="{E2270F81-EF9E-4817-A564-97AF73053312}"/>
    <cellStyle name="Normal 86 10" xfId="1265" xr:uid="{3AE4D566-CEFF-488E-A8B9-06609F7E5FDC}"/>
    <cellStyle name="Normal 86 10 2" xfId="6301" xr:uid="{DC8E3C38-FAEB-4211-90E1-A9200CF1A3B1}"/>
    <cellStyle name="Normal 86 10 2 2" xfId="10869" xr:uid="{EA83FE92-A157-467C-A35F-AE71684E4D0B}"/>
    <cellStyle name="Normal 86 10 3" xfId="8577" xr:uid="{736888A9-734F-434A-B9D2-18961A25B7D0}"/>
    <cellStyle name="Normal 86 10 4" xfId="4007" xr:uid="{FC220202-48E9-4FBB-9603-0C084B0982DD}"/>
    <cellStyle name="Normal 86 11" xfId="5233" xr:uid="{80A3E98D-6EBA-433A-8C55-1C7EB0BF1947}"/>
    <cellStyle name="Normal 86 11 2" xfId="9801" xr:uid="{626763B0-E5DC-4445-8DF8-656D62F48284}"/>
    <cellStyle name="Normal 86 12" xfId="6308" xr:uid="{9572511B-E0C4-4A24-8D3C-4D8567DA3316}"/>
    <cellStyle name="Normal 86 12 2" xfId="10876" xr:uid="{DACDC17D-C011-4C9D-97CF-3B021574882A}"/>
    <cellStyle name="Normal 86 13" xfId="6313" xr:uid="{1EDAC117-D314-4B12-87B3-D7FD687AF79D}"/>
    <cellStyle name="Normal 86 13 2" xfId="10881" xr:uid="{5BFA3A6E-C4C5-45E3-83BA-CFDB96D5F914}"/>
    <cellStyle name="Normal 86 14" xfId="6320" xr:uid="{ECB0D85D-AE10-4777-9C38-B74ABB76AC34}"/>
    <cellStyle name="Normal 86 14 2" xfId="10888" xr:uid="{6DA8C030-36BF-4919-84F8-71AB5CF92CEE}"/>
    <cellStyle name="Normal 86 15" xfId="1295" xr:uid="{F998B723-AEEF-4C21-A689-617E234EB8C0}"/>
    <cellStyle name="Normal 86 15 2" xfId="10896" xr:uid="{114695B3-3AF8-4BCB-AB7A-D9D4D4CAE772}"/>
    <cellStyle name="Normal 86 15 3" xfId="6329" xr:uid="{9ED9437D-9CF2-4923-9000-5C4FF611CCE0}"/>
    <cellStyle name="Normal 86 16" xfId="6334" xr:uid="{85DA79C5-9109-4E5F-9670-261FADEB4270}"/>
    <cellStyle name="Normal 86 16 2" xfId="10901" xr:uid="{F8F7D590-01CF-47FF-A318-BB62EEFBC603}"/>
    <cellStyle name="Normal 86 17" xfId="6339" xr:uid="{A277FCC9-07CB-4290-AEE3-71EB4F8173EE}"/>
    <cellStyle name="Normal 86 17 2" xfId="10906" xr:uid="{57E5081F-B416-41D3-921A-8F2917CCDC06}"/>
    <cellStyle name="Normal 86 18" xfId="6348" xr:uid="{48DB313F-0559-4954-80F4-2E57F71B5D17}"/>
    <cellStyle name="Normal 86 18 2" xfId="10915" xr:uid="{53BDC93D-3D74-429C-BEAA-9C1E362DEDE5}"/>
    <cellStyle name="Normal 86 19" xfId="6353" xr:uid="{BE969696-1750-40B1-9DAF-1FCE850EC880}"/>
    <cellStyle name="Normal 86 19 2" xfId="10920" xr:uid="{280E3D57-AE07-4916-BBCA-14D8D143490E}"/>
    <cellStyle name="Normal 86 2" xfId="3963" xr:uid="{F3DDAC7F-70FD-49CA-9E10-F18B03AA5FC2}"/>
    <cellStyle name="Normal 86 2 2" xfId="6257" xr:uid="{4918B39C-B989-43D4-A751-E992E9FB2EA3}"/>
    <cellStyle name="Normal 86 2 2 2" xfId="10825" xr:uid="{4E2D2B6A-1F97-44C6-81B9-A4698C92336E}"/>
    <cellStyle name="Normal 86 2 3" xfId="8533" xr:uid="{593595F3-381E-4095-A43E-CD7337F250BE}"/>
    <cellStyle name="Normal 86 20" xfId="1323" xr:uid="{A6BA8D0A-A186-4B32-BCB5-ABE31A8F6142}"/>
    <cellStyle name="Normal 86 20 2" xfId="10927" xr:uid="{2863B766-AB79-4290-B7FB-BEF7D1800E75}"/>
    <cellStyle name="Normal 86 20 3" xfId="6360" xr:uid="{2C856A37-E847-48CA-82AB-9ECE1CE5C802}"/>
    <cellStyle name="Normal 86 21" xfId="6364" xr:uid="{DE347506-DFA7-44FE-8D73-B136FF51754A}"/>
    <cellStyle name="Normal 86 21 2" xfId="10931" xr:uid="{B5A7D909-5CC6-4363-B381-556877F6AE27}"/>
    <cellStyle name="Normal 86 22" xfId="6372" xr:uid="{65C46CF5-7AB6-4A47-8BC0-F9DCD700B99F}"/>
    <cellStyle name="Normal 86 22 2" xfId="10939" xr:uid="{50290FFD-56B2-4BF7-A4F7-70704B0276BC}"/>
    <cellStyle name="Normal 86 23" xfId="7509" xr:uid="{1677AC57-8336-4FA9-8F46-25A767916985}"/>
    <cellStyle name="Normal 86 24" xfId="2808" xr:uid="{5B8D11FB-E731-4530-AB43-E636A89AA4B3}"/>
    <cellStyle name="Normal 86 3" xfId="3970" xr:uid="{6AAF1AEE-C7D3-4218-A641-893CB1D638D9}"/>
    <cellStyle name="Normal 86 3 2" xfId="6264" xr:uid="{7E0433A3-E57D-4BCC-9B10-2F7018AF9F4F}"/>
    <cellStyle name="Normal 86 3 2 2" xfId="10832" xr:uid="{4BC1EDC5-0E32-4A18-810A-7D821A70959A}"/>
    <cellStyle name="Normal 86 3 3" xfId="8540" xr:uid="{2615C461-FA4D-436D-98CF-7EEC9466D1EC}"/>
    <cellStyle name="Normal 86 4" xfId="1247" xr:uid="{00000000-0005-0000-0000-0000E3030000}"/>
    <cellStyle name="Normal 86 4 2" xfId="6269" xr:uid="{C96D0CFF-7667-439C-8442-5486B613C65E}"/>
    <cellStyle name="Normal 86 4 2 2" xfId="10837" xr:uid="{0B49014C-9DBB-4341-853D-9B20D25365D2}"/>
    <cellStyle name="Normal 86 4 3" xfId="8545" xr:uid="{3DA1F700-1F10-4DFD-9C12-5F5D8DE8D4FC}"/>
    <cellStyle name="Normal 86 4 4" xfId="3975" xr:uid="{782F671B-1B32-4E38-A0AB-29EB4CE80223}"/>
    <cellStyle name="Normal 86 5" xfId="3980" xr:uid="{6C1D234B-F8ED-4591-983E-FED46BE81FCF}"/>
    <cellStyle name="Normal 86 5 2" xfId="6274" xr:uid="{664B38BE-95FD-437A-BBF7-462E803AD5C3}"/>
    <cellStyle name="Normal 86 5 2 2" xfId="10842" xr:uid="{51A825D3-182C-4371-A5C0-4F175914DBFD}"/>
    <cellStyle name="Normal 86 5 3" xfId="8550" xr:uid="{95BDD295-A23B-4DAC-889B-4A1EF6CEA74D}"/>
    <cellStyle name="Normal 86 6" xfId="3985" xr:uid="{B74519E4-0689-429F-9497-84FFF9C52257}"/>
    <cellStyle name="Normal 86 6 2" xfId="6279" xr:uid="{F0D437B0-D300-4A16-96DD-D79361FD693C}"/>
    <cellStyle name="Normal 86 6 2 2" xfId="10847" xr:uid="{26D5B6D9-1874-4FE6-B2CA-810295F120BD}"/>
    <cellStyle name="Normal 86 6 3" xfId="8555" xr:uid="{91B0507F-2A16-4589-90AB-9669E3719C44}"/>
    <cellStyle name="Normal 86 7" xfId="3990" xr:uid="{653F280E-3444-41D3-AE79-0FC8245DDD5D}"/>
    <cellStyle name="Normal 86 7 2" xfId="6284" xr:uid="{B3AE7FF9-7AF2-45DA-BF07-A09EBF643097}"/>
    <cellStyle name="Normal 86 7 2 2" xfId="10852" xr:uid="{3FC1574C-E5CB-4D0A-94AB-211A00D28892}"/>
    <cellStyle name="Normal 86 7 3" xfId="8560" xr:uid="{70FC00D9-F7B7-4E17-98C0-E2F469B8B297}"/>
    <cellStyle name="Normal 86 8" xfId="3995" xr:uid="{898C9BD7-E42A-420F-BB74-EB67DFDE093D}"/>
    <cellStyle name="Normal 86 8 2" xfId="6289" xr:uid="{4B716696-10A2-4859-B3DD-5AF51D55D0F4}"/>
    <cellStyle name="Normal 86 8 2 2" xfId="10857" xr:uid="{B8615C10-E7BD-466C-BBEE-A2EACAE7AE4A}"/>
    <cellStyle name="Normal 86 8 3" xfId="8565" xr:uid="{562A093C-1107-41B7-857A-5AA5D3BCB23C}"/>
    <cellStyle name="Normal 86 9" xfId="4002" xr:uid="{134DDD13-36C9-49B1-9324-08B5CCD92851}"/>
    <cellStyle name="Normal 86 9 2" xfId="6296" xr:uid="{616AFDA4-55A3-4B87-BE9C-B50846ED91ED}"/>
    <cellStyle name="Normal 86 9 2 2" xfId="10864" xr:uid="{DA906E1B-9E26-4511-902A-90FF01D69965}"/>
    <cellStyle name="Normal 86 9 3" xfId="8572" xr:uid="{18838E4E-0474-40B1-B6F1-DFC249D653D2}"/>
    <cellStyle name="Normal 87" xfId="2721" xr:uid="{E6C08D1F-9FF4-412F-9712-DF928D8340CB}"/>
    <cellStyle name="Normal 87 2" xfId="5147" xr:uid="{BEDCBC7F-7A63-4AEB-92AF-4F34011320A0}"/>
    <cellStyle name="Normal 87 2 2" xfId="9715" xr:uid="{CE26B70E-47BF-4097-8A50-12494624B890}"/>
    <cellStyle name="Normal 87 3" xfId="7423" xr:uid="{E42264D0-763A-4839-B679-88C6CC69ADFD}"/>
    <cellStyle name="Normal 88" xfId="1350" xr:uid="{05133A7A-D9D6-44F4-A46C-30CBDF6EBFE6}"/>
    <cellStyle name="Normal 88 2" xfId="6248" xr:uid="{61529409-6A49-4C9C-AA89-AAC4322EA100}"/>
    <cellStyle name="Normal 88 2 2" xfId="10816" xr:uid="{8F37887E-508D-464A-A987-7D8CA208081A}"/>
    <cellStyle name="Normal 88 3" xfId="8524" xr:uid="{EED056D2-2B20-477B-AD17-2893F35509AF}"/>
    <cellStyle name="Normal 88 4" xfId="3954" xr:uid="{CF8065E7-89F0-40C7-BB71-29D7EBB624B6}"/>
    <cellStyle name="Normal 89" xfId="3957" xr:uid="{D63FC4F8-0722-46CA-8163-DB9902FC2663}"/>
    <cellStyle name="Normal 89 2" xfId="6251" xr:uid="{86A2196B-6133-4103-9158-36EF38C7E4F1}"/>
    <cellStyle name="Normal 89 2 2" xfId="10819" xr:uid="{F128AF42-8B4B-4C5A-8CB4-94CE9E8E2ED4}"/>
    <cellStyle name="Normal 89 3" xfId="8527" xr:uid="{4121453A-3C19-4613-9AD3-4A7E96DF0927}"/>
    <cellStyle name="Normal 9" xfId="674" xr:uid="{00000000-0005-0000-0000-0000E4030000}"/>
    <cellStyle name="Normal 9 2" xfId="675" xr:uid="{00000000-0005-0000-0000-0000E5030000}"/>
    <cellStyle name="Normal 9 2 2" xfId="676" xr:uid="{00000000-0005-0000-0000-0000E6030000}"/>
    <cellStyle name="Normal 9 2 2 2" xfId="1867" xr:uid="{5E98053E-4920-41F7-A96D-94FA70A15EA8}"/>
    <cellStyle name="Normal 9 2 2 2 2" xfId="2413" xr:uid="{8482B105-9AA8-4252-AFD5-5074B907A66A}"/>
    <cellStyle name="Normal 9 2 2 2 2 2" xfId="3424" xr:uid="{E2F557DA-4D4A-4078-AF92-022018E3C773}"/>
    <cellStyle name="Normal 9 2 2 2 2 2 2" xfId="5848" xr:uid="{C7570682-44CE-4BBE-8F26-81961601D7CC}"/>
    <cellStyle name="Normal 9 2 2 2 2 2 2 2" xfId="10416" xr:uid="{E46F1765-9405-42E8-A65C-6772A4BA59D4}"/>
    <cellStyle name="Normal 9 2 2 2 2 2 3" xfId="8124" xr:uid="{10D39B4C-A235-40C5-9951-6F45BA5922AF}"/>
    <cellStyle name="Normal 9 2 2 2 2 3" xfId="4839" xr:uid="{5CDC844D-E5B4-40B3-A6CA-1205EC1DE8D9}"/>
    <cellStyle name="Normal 9 2 2 2 2 3 2" xfId="9407" xr:uid="{5B8968C4-BFF5-4E1A-AD59-F373A8753F6F}"/>
    <cellStyle name="Normal 9 2 2 2 2 4" xfId="7115" xr:uid="{8644E6F5-FE78-4FAE-99FB-59A879871870}"/>
    <cellStyle name="Normal 9 2 2 2 3" xfId="2996" xr:uid="{03F8C72E-BEDF-4248-AA24-B78FCDCB78D2}"/>
    <cellStyle name="Normal 9 2 2 2 3 2" xfId="5420" xr:uid="{8506247B-EB0A-4D21-9D64-D675FE242EFC}"/>
    <cellStyle name="Normal 9 2 2 2 3 2 2" xfId="9988" xr:uid="{3F404647-63E0-446B-B2FD-2E62E71E4FFE}"/>
    <cellStyle name="Normal 9 2 2 2 3 3" xfId="7696" xr:uid="{952652D7-AB0C-46DD-B74C-9CC041A06484}"/>
    <cellStyle name="Normal 9 2 2 2 4" xfId="4411" xr:uid="{BBCE24D2-F9F0-44A0-8862-DB8113D6FF2F}"/>
    <cellStyle name="Normal 9 2 2 2 4 2" xfId="8979" xr:uid="{009F872A-8083-4688-9CDD-0A0E0C579925}"/>
    <cellStyle name="Normal 9 2 2 2 5" xfId="6687" xr:uid="{D5965D24-7C6F-4098-9898-9B793BBC35C7}"/>
    <cellStyle name="Normal 9 2 2 3" xfId="2224" xr:uid="{0CF262B8-71CC-4D9A-91FD-5808E207469A}"/>
    <cellStyle name="Normal 9 2 2 3 2" xfId="3237" xr:uid="{35047B91-978A-4E65-9474-EC3A3C54BF18}"/>
    <cellStyle name="Normal 9 2 2 3 2 2" xfId="5661" xr:uid="{512DF394-6072-4D1C-8C1E-F0BC5128814D}"/>
    <cellStyle name="Normal 9 2 2 3 2 2 2" xfId="10229" xr:uid="{6CF75CB0-79AE-487B-8F56-490B9782A7A2}"/>
    <cellStyle name="Normal 9 2 2 3 2 3" xfId="7937" xr:uid="{288E53AC-6C82-4EB2-92B5-10FB7F82CEF9}"/>
    <cellStyle name="Normal 9 2 2 3 3" xfId="4652" xr:uid="{08C2D872-B399-4750-856B-3DBD3447EEBB}"/>
    <cellStyle name="Normal 9 2 2 3 3 2" xfId="9220" xr:uid="{0BF59C60-F2D2-4900-9A67-5A18D0DAB5AE}"/>
    <cellStyle name="Normal 9 2 2 3 4" xfId="6928" xr:uid="{68CE3CA5-0F08-4303-98E3-FE3419085969}"/>
    <cellStyle name="Normal 9 2 2 4" xfId="2806" xr:uid="{D4DAC73C-32CD-400A-9A44-B5C6EDEDEE7C}"/>
    <cellStyle name="Normal 9 2 2 4 2" xfId="5231" xr:uid="{3A0B4CE2-4B25-455B-AB22-10C714F99036}"/>
    <cellStyle name="Normal 9 2 2 4 2 2" xfId="9799" xr:uid="{D39E11E6-2D6C-481E-9C2F-11CD141B21DE}"/>
    <cellStyle name="Normal 9 2 2 4 3" xfId="7507" xr:uid="{DE2E679F-8687-4E78-BDD7-AE3BF07424B7}"/>
    <cellStyle name="Normal 9 2 2 5" xfId="4221" xr:uid="{D9099883-9B14-4CD7-9718-C604D2108797}"/>
    <cellStyle name="Normal 9 2 2 5 2" xfId="8790" xr:uid="{5F9240B4-8898-4C49-9905-CE78B6DF0414}"/>
    <cellStyle name="Normal 9 2 2 6" xfId="6499" xr:uid="{2BB1E02B-210F-4483-8D37-BF3F8EC07B5E}"/>
    <cellStyle name="Normal 9 2 2 7" xfId="1579" xr:uid="{6FA09505-D5BC-4E1E-8FE6-BBA6CD1A7360}"/>
    <cellStyle name="Normal 9 2 3" xfId="1866" xr:uid="{51EA552F-E3EB-4B65-B682-44E2E44DFF21}"/>
    <cellStyle name="Normal 9 2 3 2" xfId="2412" xr:uid="{112D5C04-90D6-4069-8141-E1DAF7D80B78}"/>
    <cellStyle name="Normal 9 2 3 2 2" xfId="3423" xr:uid="{FE3FE877-06A1-479C-AD9F-6BA019566C09}"/>
    <cellStyle name="Normal 9 2 3 2 2 2" xfId="5847" xr:uid="{57941814-D066-4921-963D-9DE96D1C6CAE}"/>
    <cellStyle name="Normal 9 2 3 2 2 2 2" xfId="10415" xr:uid="{79F5DF8B-5181-425D-83F1-CFBB6D78661C}"/>
    <cellStyle name="Normal 9 2 3 2 2 3" xfId="8123" xr:uid="{7DABC64E-AF6B-4B96-8183-3046E4D942BE}"/>
    <cellStyle name="Normal 9 2 3 2 3" xfId="4838" xr:uid="{83BA8277-98DD-4511-83B1-7FCA5E6837D5}"/>
    <cellStyle name="Normal 9 2 3 2 3 2" xfId="9406" xr:uid="{9C41848C-C37A-480B-9EBC-1BA902F25675}"/>
    <cellStyle name="Normal 9 2 3 2 4" xfId="7114" xr:uid="{4B422E51-CB81-41BC-8F0F-A071B042ACC2}"/>
    <cellStyle name="Normal 9 2 3 3" xfId="2995" xr:uid="{A68CF361-30AC-4C0D-95F6-CE2D92F0027C}"/>
    <cellStyle name="Normal 9 2 3 3 2" xfId="5419" xr:uid="{B1CCBA3A-335F-4099-A973-08DB7F7E1A4E}"/>
    <cellStyle name="Normal 9 2 3 3 2 2" xfId="9987" xr:uid="{3EDE52E7-0CC7-425F-8C7F-D274C4811BB3}"/>
    <cellStyle name="Normal 9 2 3 3 3" xfId="7695" xr:uid="{868A0541-FF9C-4122-99B5-4DB6ED50840B}"/>
    <cellStyle name="Normal 9 2 3 4" xfId="4410" xr:uid="{22A15B4E-05CB-4EDB-8AF8-2FC30768207C}"/>
    <cellStyle name="Normal 9 2 3 4 2" xfId="8978" xr:uid="{8152EF2A-7459-443F-B95B-030617E96975}"/>
    <cellStyle name="Normal 9 2 3 5" xfId="6686" xr:uid="{A87F1605-47E9-4821-AD95-CF5B0BE04DC6}"/>
    <cellStyle name="Normal 9 2 4" xfId="2223" xr:uid="{A5359A9D-77E0-4634-8313-20B874F089BF}"/>
    <cellStyle name="Normal 9 2 4 2" xfId="3236" xr:uid="{05594748-3620-4515-A5C2-78DCC939E4A2}"/>
    <cellStyle name="Normal 9 2 4 2 2" xfId="5660" xr:uid="{2CDA90CD-EDDC-400B-9955-560868323873}"/>
    <cellStyle name="Normal 9 2 4 2 2 2" xfId="10228" xr:uid="{DC482819-8628-4D90-A936-8805BA18439F}"/>
    <cellStyle name="Normal 9 2 4 2 3" xfId="7936" xr:uid="{EF7E4DF5-E1B2-4F48-A3D3-84A6047705C9}"/>
    <cellStyle name="Normal 9 2 4 3" xfId="4651" xr:uid="{A612AD2A-5F8A-4223-BB46-3F8859B86BD6}"/>
    <cellStyle name="Normal 9 2 4 3 2" xfId="9219" xr:uid="{B1F8F7F2-4EC7-454A-B2A5-ECE8CFB34C46}"/>
    <cellStyle name="Normal 9 2 4 4" xfId="6927" xr:uid="{C62206B9-DCA9-4624-A662-CCB18ADC22CA}"/>
    <cellStyle name="Normal 9 2 5" xfId="2805" xr:uid="{F39781A2-68B6-4DC2-9072-ABA6B0A808AA}"/>
    <cellStyle name="Normal 9 2 5 2" xfId="5230" xr:uid="{3F0801B9-3B27-497A-8ABE-0B4B3F89B905}"/>
    <cellStyle name="Normal 9 2 5 2 2" xfId="9798" xr:uid="{2C681BCF-8A10-418B-9F7F-78D45C57A94C}"/>
    <cellStyle name="Normal 9 2 5 3" xfId="7506" xr:uid="{0AEB2229-A0A0-46BB-9B5A-B18E71D5379F}"/>
    <cellStyle name="Normal 9 2 6" xfId="4220" xr:uid="{55440C72-2101-43D1-B29C-65F427874999}"/>
    <cellStyle name="Normal 9 2 6 2" xfId="8789" xr:uid="{21E3AED3-DDBC-4081-BE2D-EF7AA9FD60AD}"/>
    <cellStyle name="Normal 9 2 7" xfId="6498" xr:uid="{36C8AC68-2D26-409D-9252-B480A14D9D5A}"/>
    <cellStyle name="Normal 9 2 8" xfId="1578" xr:uid="{F06A3231-D636-4DD1-A789-7A626A93393F}"/>
    <cellStyle name="Normal 90" xfId="1352" xr:uid="{772D0DE9-13DB-4A0F-8D91-4BCBA55DE7E4}"/>
    <cellStyle name="Normal 90 2" xfId="4008" xr:uid="{C5A36644-275E-4AC2-BF70-F0BEA87ACFA2}"/>
    <cellStyle name="Normal 91" xfId="1354" xr:uid="{6633B71F-8B2A-4C2C-94FF-F5BF0029620C}"/>
    <cellStyle name="Normal 91 2" xfId="4222" xr:uid="{4B6207DF-3A48-4551-A6F2-DD40B69FEF4C}"/>
    <cellStyle name="Normal 92" xfId="1359" xr:uid="{19DFBED9-87D7-473C-A048-86BA7D5C0DBF}"/>
    <cellStyle name="Normal 92 2" xfId="10945" xr:uid="{E52CEF7C-059D-4D13-9579-551D793F5950}"/>
    <cellStyle name="Normal 92 3" xfId="6323" xr:uid="{F1502D1E-69D7-4376-86A7-21F7B83D6794}"/>
    <cellStyle name="Normal 93" xfId="1356" xr:uid="{3C696756-EA15-4082-B42D-438830087EFE}"/>
    <cellStyle name="Normal Bold" xfId="677" xr:uid="{00000000-0005-0000-0000-0000E7030000}"/>
    <cellStyle name="Normal Pct" xfId="678" xr:uid="{00000000-0005-0000-0000-0000E8030000}"/>
    <cellStyle name="Normal Pct 2" xfId="679" xr:uid="{00000000-0005-0000-0000-0000E9030000}"/>
    <cellStyle name="Normal_Formatos de Balance y PYG_Opciones gráficos JD - Excel 2003" xfId="4" xr:uid="{00000000-0005-0000-0000-0000EA030000}"/>
    <cellStyle name="Normál_MRepcons" xfId="680" xr:uid="{00000000-0005-0000-0000-0000EB030000}"/>
    <cellStyle name="Normal_Opciones gráficos JD - Excel 2003" xfId="2" xr:uid="{00000000-0005-0000-0000-0000EC030000}"/>
    <cellStyle name="Normal_Opciones gráficos JD - Excel 2003 2 2" xfId="924" xr:uid="{00000000-0005-0000-0000-0000ED030000}"/>
    <cellStyle name="Normal_PGBalance - Propuestos CEA2_Opciones gráficos JD - Excel 2003" xfId="3" xr:uid="{00000000-0005-0000-0000-0000EE030000}"/>
    <cellStyle name="Normal1" xfId="681" xr:uid="{00000000-0005-0000-0000-0000EF030000}"/>
    <cellStyle name="Normal2" xfId="682" xr:uid="{00000000-0005-0000-0000-0000F0030000}"/>
    <cellStyle name="NormalBold" xfId="683" xr:uid="{00000000-0005-0000-0000-0000F1030000}"/>
    <cellStyle name="Normale_1320 NX" xfId="684" xr:uid="{00000000-0005-0000-0000-0000F2030000}"/>
    <cellStyle name="NormalMultiple" xfId="685" xr:uid="{00000000-0005-0000-0000-0000F3030000}"/>
    <cellStyle name="NormalMultiple 2" xfId="686" xr:uid="{00000000-0005-0000-0000-0000F4030000}"/>
    <cellStyle name="normálne_PRISTAV- 0898" xfId="687" xr:uid="{00000000-0005-0000-0000-0000F5030000}"/>
    <cellStyle name="normální_10" xfId="688" xr:uid="{00000000-0005-0000-0000-0000F6030000}"/>
    <cellStyle name="NormalX" xfId="689" xr:uid="{00000000-0005-0000-0000-0000F7030000}"/>
    <cellStyle name="NormalxShadow" xfId="690" xr:uid="{00000000-0005-0000-0000-0000F8030000}"/>
    <cellStyle name="Notas 2" xfId="691" xr:uid="{00000000-0005-0000-0000-0000F9030000}"/>
    <cellStyle name="Notas 2 2" xfId="692" xr:uid="{00000000-0005-0000-0000-0000FA030000}"/>
    <cellStyle name="Notas 3" xfId="693" xr:uid="{00000000-0005-0000-0000-0000FB030000}"/>
    <cellStyle name="Notas 4" xfId="694" xr:uid="{00000000-0005-0000-0000-0000FC030000}"/>
    <cellStyle name="Note" xfId="695" xr:uid="{00000000-0005-0000-0000-0000FD030000}"/>
    <cellStyle name="Note 2" xfId="696" xr:uid="{00000000-0005-0000-0000-0000FE030000}"/>
    <cellStyle name="Note 3" xfId="697" xr:uid="{00000000-0005-0000-0000-0000FF030000}"/>
    <cellStyle name="NPPESalesPct" xfId="698" xr:uid="{00000000-0005-0000-0000-000000040000}"/>
    <cellStyle name="NWI%S" xfId="699" xr:uid="{00000000-0005-0000-0000-000001040000}"/>
    <cellStyle name="Output" xfId="700" xr:uid="{00000000-0005-0000-0000-000002040000}"/>
    <cellStyle name="Output 2" xfId="701" xr:uid="{00000000-0005-0000-0000-000003040000}"/>
    <cellStyle name="Output Amounts" xfId="702" xr:uid="{00000000-0005-0000-0000-000004040000}"/>
    <cellStyle name="Output Amounts 2" xfId="703" xr:uid="{00000000-0005-0000-0000-000005040000}"/>
    <cellStyle name="Output Column Headings" xfId="704" xr:uid="{00000000-0005-0000-0000-000006040000}"/>
    <cellStyle name="Output Line Items" xfId="705" xr:uid="{00000000-0005-0000-0000-000007040000}"/>
    <cellStyle name="Output Report Heading" xfId="706" xr:uid="{00000000-0005-0000-0000-000008040000}"/>
    <cellStyle name="Output Report Title" xfId="707" xr:uid="{00000000-0005-0000-0000-000009040000}"/>
    <cellStyle name="Output_gráfico Ingresos por regiones  V2 Real - Jun_10" xfId="708" xr:uid="{00000000-0005-0000-0000-00000A040000}"/>
    <cellStyle name="Output-Number" xfId="709" xr:uid="{00000000-0005-0000-0000-00000B040000}"/>
    <cellStyle name="Output-Number 2" xfId="710" xr:uid="{00000000-0005-0000-0000-00000C040000}"/>
    <cellStyle name="Output-Number-Dim" xfId="711" xr:uid="{00000000-0005-0000-0000-00000D040000}"/>
    <cellStyle name="Output-Number-Price" xfId="712" xr:uid="{00000000-0005-0000-0000-00000E040000}"/>
    <cellStyle name="Output-Number-Price 2" xfId="713" xr:uid="{00000000-0005-0000-0000-00000F040000}"/>
    <cellStyle name="Output-Number-Price-Dim" xfId="714" xr:uid="{00000000-0005-0000-0000-000010040000}"/>
    <cellStyle name="Output-Percent" xfId="715" xr:uid="{00000000-0005-0000-0000-000011040000}"/>
    <cellStyle name="Output-Percent 2" xfId="716" xr:uid="{00000000-0005-0000-0000-000012040000}"/>
    <cellStyle name="Output-Percent-Dim" xfId="717" xr:uid="{00000000-0005-0000-0000-000013040000}"/>
    <cellStyle name="Package_numbers" xfId="718" xr:uid="{00000000-0005-0000-0000-000014040000}"/>
    <cellStyle name="Percent [0]" xfId="719" xr:uid="{00000000-0005-0000-0000-000015040000}"/>
    <cellStyle name="Percent [1]" xfId="720" xr:uid="{00000000-0005-0000-0000-000016040000}"/>
    <cellStyle name="Percent [1] --" xfId="721" xr:uid="{00000000-0005-0000-0000-000017040000}"/>
    <cellStyle name="Percent [1]_RMCC_model_January_v2" xfId="722" xr:uid="{00000000-0005-0000-0000-000018040000}"/>
    <cellStyle name="Percent [2]" xfId="723" xr:uid="{00000000-0005-0000-0000-000019040000}"/>
    <cellStyle name="Percent Comma" xfId="724" xr:uid="{00000000-0005-0000-0000-00001A040000}"/>
    <cellStyle name="Percent input" xfId="725" xr:uid="{00000000-0005-0000-0000-00001B040000}"/>
    <cellStyle name="PercentSales" xfId="726" xr:uid="{00000000-0005-0000-0000-00001C040000}"/>
    <cellStyle name="POA" xfId="727" xr:uid="{00000000-0005-0000-0000-00001D040000}"/>
    <cellStyle name="Porcentaje" xfId="1" builtinId="5"/>
    <cellStyle name="Porcentaje 10" xfId="728" xr:uid="{00000000-0005-0000-0000-00001F040000}"/>
    <cellStyle name="Porcentaje 10 2" xfId="729" xr:uid="{00000000-0005-0000-0000-000020040000}"/>
    <cellStyle name="Porcentaje 11" xfId="730" xr:uid="{00000000-0005-0000-0000-000021040000}"/>
    <cellStyle name="Porcentaje 11 2" xfId="731" xr:uid="{00000000-0005-0000-0000-000022040000}"/>
    <cellStyle name="Porcentaje 12" xfId="732" xr:uid="{00000000-0005-0000-0000-000023040000}"/>
    <cellStyle name="Porcentaje 12 2" xfId="733" xr:uid="{00000000-0005-0000-0000-000024040000}"/>
    <cellStyle name="Porcentaje 13" xfId="734" xr:uid="{00000000-0005-0000-0000-000025040000}"/>
    <cellStyle name="Porcentaje 13 2" xfId="735" xr:uid="{00000000-0005-0000-0000-000026040000}"/>
    <cellStyle name="Porcentaje 14" xfId="736" xr:uid="{00000000-0005-0000-0000-000027040000}"/>
    <cellStyle name="Porcentaje 14 2" xfId="737" xr:uid="{00000000-0005-0000-0000-000028040000}"/>
    <cellStyle name="Porcentaje 15" xfId="738" xr:uid="{00000000-0005-0000-0000-000029040000}"/>
    <cellStyle name="Porcentaje 15 2" xfId="739" xr:uid="{00000000-0005-0000-0000-00002A040000}"/>
    <cellStyle name="Porcentaje 16" xfId="740" xr:uid="{00000000-0005-0000-0000-00002B040000}"/>
    <cellStyle name="Porcentaje 16 2" xfId="741" xr:uid="{00000000-0005-0000-0000-00002C040000}"/>
    <cellStyle name="Porcentaje 17" xfId="742" xr:uid="{00000000-0005-0000-0000-00002D040000}"/>
    <cellStyle name="Porcentaje 17 2" xfId="743" xr:uid="{00000000-0005-0000-0000-00002E040000}"/>
    <cellStyle name="Porcentaje 18" xfId="744" xr:uid="{00000000-0005-0000-0000-00002F040000}"/>
    <cellStyle name="Porcentaje 18 2" xfId="745" xr:uid="{00000000-0005-0000-0000-000030040000}"/>
    <cellStyle name="Porcentaje 19" xfId="746" xr:uid="{00000000-0005-0000-0000-000031040000}"/>
    <cellStyle name="Porcentaje 19 2" xfId="747" xr:uid="{00000000-0005-0000-0000-000032040000}"/>
    <cellStyle name="Porcentaje 2" xfId="748" xr:uid="{00000000-0005-0000-0000-000033040000}"/>
    <cellStyle name="Porcentaje 20" xfId="749" xr:uid="{00000000-0005-0000-0000-000034040000}"/>
    <cellStyle name="Porcentaje 20 2" xfId="750" xr:uid="{00000000-0005-0000-0000-000035040000}"/>
    <cellStyle name="Porcentaje 21" xfId="751" xr:uid="{00000000-0005-0000-0000-000036040000}"/>
    <cellStyle name="Porcentaje 22" xfId="752" xr:uid="{00000000-0005-0000-0000-000037040000}"/>
    <cellStyle name="Porcentaje 23" xfId="916" xr:uid="{00000000-0005-0000-0000-000038040000}"/>
    <cellStyle name="Porcentaje 23 2" xfId="1871" xr:uid="{F2D27BFE-8BF2-4ABA-AF0F-AC25BFD11BB8}"/>
    <cellStyle name="Porcentaje 23 2 2" xfId="2415" xr:uid="{895D7BB2-C0FC-4182-B055-5DDC4478C00D}"/>
    <cellStyle name="Porcentaje 23 2 2 2" xfId="3426" xr:uid="{48B83182-B764-40AE-987F-D55E03BF01A3}"/>
    <cellStyle name="Porcentaje 23 2 2 2 2" xfId="5850" xr:uid="{01398FBA-96CA-4464-BDE7-A80793C14156}"/>
    <cellStyle name="Porcentaje 23 2 2 2 2 2" xfId="10418" xr:uid="{134F4461-8583-481C-A199-93B4C0ADE756}"/>
    <cellStyle name="Porcentaje 23 2 2 2 3" xfId="8126" xr:uid="{48A1642C-F23C-4690-B07E-A5A00ADE76F1}"/>
    <cellStyle name="Porcentaje 23 2 2 3" xfId="4841" xr:uid="{764FF846-EF1E-4475-92FF-73A89151F9B4}"/>
    <cellStyle name="Porcentaje 23 2 2 3 2" xfId="9409" xr:uid="{AEFD9E73-012F-44C3-910A-E52070B4C501}"/>
    <cellStyle name="Porcentaje 23 2 2 4" xfId="7117" xr:uid="{5C38843F-5796-46AC-8542-0BF0F69B359A}"/>
    <cellStyle name="Porcentaje 23 2 3" xfId="2998" xr:uid="{E52026FB-C558-4A30-83E1-4E0AE9F6D4C9}"/>
    <cellStyle name="Porcentaje 23 2 3 2" xfId="5422" xr:uid="{7A8EA7A8-36B1-4A01-8E3F-276BF5E43F8C}"/>
    <cellStyle name="Porcentaje 23 2 3 2 2" xfId="9990" xr:uid="{A35809BD-95BD-4BBD-BBD8-351E1E4AA0D2}"/>
    <cellStyle name="Porcentaje 23 2 3 3" xfId="7698" xr:uid="{734BFBC6-4E66-4DC6-8AB6-66C756443B0B}"/>
    <cellStyle name="Porcentaje 23 2 4" xfId="4413" xr:uid="{46DD5BF3-AF01-4255-AEA4-9E8E91754712}"/>
    <cellStyle name="Porcentaje 23 2 4 2" xfId="8981" xr:uid="{FA01FBEE-6D76-4793-AC61-3EE490FFB16F}"/>
    <cellStyle name="Porcentaje 23 2 5" xfId="6689" xr:uid="{154D2A0B-B95E-4B39-BCF9-F0A73ECC7553}"/>
    <cellStyle name="Porcentaje 23 3" xfId="2226" xr:uid="{38963671-611F-4968-BDDE-0EA664916BD0}"/>
    <cellStyle name="Porcentaje 23 3 2" xfId="3239" xr:uid="{D4A152EB-1512-4F84-9ACE-F68C3727E043}"/>
    <cellStyle name="Porcentaje 23 3 2 2" xfId="5663" xr:uid="{FA81DC47-31E9-4123-A4EE-BEB48F591BBA}"/>
    <cellStyle name="Porcentaje 23 3 2 2 2" xfId="10231" xr:uid="{6F2D3194-FB03-49F8-A4C3-F6796BE4CF73}"/>
    <cellStyle name="Porcentaje 23 3 2 3" xfId="7939" xr:uid="{3BDBCA0D-E08C-4408-800F-E851410CAEED}"/>
    <cellStyle name="Porcentaje 23 3 3" xfId="4654" xr:uid="{6C846CF2-021F-45A6-80E0-F699AB7DF465}"/>
    <cellStyle name="Porcentaje 23 3 3 2" xfId="9222" xr:uid="{6789BC2A-F59B-4E29-A668-2564B5907352}"/>
    <cellStyle name="Porcentaje 23 3 4" xfId="6930" xr:uid="{206058A0-7390-4A25-B957-15E039A027E6}"/>
    <cellStyle name="Porcentaje 23 4" xfId="2810" xr:uid="{D2FB1D24-C473-4B72-A011-E957B1572D18}"/>
    <cellStyle name="Porcentaje 23 4 2" xfId="5235" xr:uid="{79C4A3AD-D9C8-4DC4-A42B-F9E1A0628274}"/>
    <cellStyle name="Porcentaje 23 4 2 2" xfId="9803" xr:uid="{D0482503-8098-4B6B-A8F6-7FF748AD7A7F}"/>
    <cellStyle name="Porcentaje 23 4 3" xfId="7511" xr:uid="{754A87E5-E2F0-477F-934E-37341A3E7A5D}"/>
    <cellStyle name="Porcentaje 23 5" xfId="4224" xr:uid="{EBA08C7E-4B69-438A-82F1-8F3A250CC025}"/>
    <cellStyle name="Porcentaje 23 5 2" xfId="8792" xr:uid="{C59AA149-7F38-4636-9D53-7117BD68F750}"/>
    <cellStyle name="Porcentaje 23 6" xfId="6501" xr:uid="{5AC0D49E-5BB6-4692-B0F0-A4B6D1E01666}"/>
    <cellStyle name="Porcentaje 23 7" xfId="1581" xr:uid="{0F644322-99DD-4121-A7CA-41DC32752792}"/>
    <cellStyle name="Porcentaje 24" xfId="1037" xr:uid="{00000000-0005-0000-0000-000039040000}"/>
    <cellStyle name="Porcentaje 24 2" xfId="1911" xr:uid="{5FBB6655-A4F4-437F-99A1-4A305C4A7495}"/>
    <cellStyle name="Porcentaje 24 2 2" xfId="2453" xr:uid="{33454C26-6B83-44B8-9E3C-35CC8DC9A817}"/>
    <cellStyle name="Porcentaje 24 2 2 2" xfId="3464" xr:uid="{F21D3AEF-07E1-4EE0-9AFD-A5733B7E9A52}"/>
    <cellStyle name="Porcentaje 24 2 2 2 2" xfId="5888" xr:uid="{4DF90910-33E2-4FCC-806B-2F0C37F09D0A}"/>
    <cellStyle name="Porcentaje 24 2 2 2 2 2" xfId="10456" xr:uid="{01CDCA5A-9EB2-451A-BE8A-4EF4D3E3AF6E}"/>
    <cellStyle name="Porcentaje 24 2 2 2 3" xfId="8164" xr:uid="{9200BB08-1F36-4090-AD55-0571DF9E6776}"/>
    <cellStyle name="Porcentaje 24 2 2 3" xfId="4879" xr:uid="{F80B734D-1D9A-433F-BC24-CC5C168F09FB}"/>
    <cellStyle name="Porcentaje 24 2 2 3 2" xfId="9447" xr:uid="{A5755C1C-3F8C-4D7D-B442-25B79C198134}"/>
    <cellStyle name="Porcentaje 24 2 2 4" xfId="7155" xr:uid="{A322947E-E4A6-4850-B9EB-DBEC3406D7B3}"/>
    <cellStyle name="Porcentaje 24 2 3" xfId="3036" xr:uid="{F37A0FB6-A66E-4C11-A3FF-055FE4C505F8}"/>
    <cellStyle name="Porcentaje 24 2 3 2" xfId="5460" xr:uid="{720D23B3-D3A0-4C12-90F5-5A590F7A1A61}"/>
    <cellStyle name="Porcentaje 24 2 3 2 2" xfId="10028" xr:uid="{FB3300D7-5E45-4749-B278-529D4CDA87BE}"/>
    <cellStyle name="Porcentaje 24 2 3 3" xfId="7736" xr:uid="{D8DEDC90-BCFD-44D3-A66A-513B73C626F2}"/>
    <cellStyle name="Porcentaje 24 2 4" xfId="4451" xr:uid="{D56F0C88-3084-4842-891D-F7BC7FAB832F}"/>
    <cellStyle name="Porcentaje 24 2 4 2" xfId="9019" xr:uid="{D07E99C6-1336-4DF2-A521-B9F347C4721F}"/>
    <cellStyle name="Porcentaje 24 2 5" xfId="6727" xr:uid="{AC0B93DF-19C4-4FD9-86EA-D429CE3AA456}"/>
    <cellStyle name="Porcentaje 24 3" xfId="2266" xr:uid="{9D8B17E5-60F2-49E1-AFC6-B10093597A78}"/>
    <cellStyle name="Porcentaje 24 3 2" xfId="3277" xr:uid="{FC1E0CDE-FC5B-4277-8ABF-2453A7F17FA2}"/>
    <cellStyle name="Porcentaje 24 3 2 2" xfId="5701" xr:uid="{3589013D-FFB6-4BBE-B326-3F7BFDF61AF8}"/>
    <cellStyle name="Porcentaje 24 3 2 2 2" xfId="10269" xr:uid="{DE9CC9D2-75D4-4523-9912-DF3F2FB59A45}"/>
    <cellStyle name="Porcentaje 24 3 2 3" xfId="7977" xr:uid="{DC2DE52C-BCEB-4AAE-82E5-391CF4ACA838}"/>
    <cellStyle name="Porcentaje 24 3 3" xfId="4692" xr:uid="{0E1ABA3B-F5AB-441E-806B-28955A60EE7C}"/>
    <cellStyle name="Porcentaje 24 3 3 2" xfId="9260" xr:uid="{03D49932-5B7A-45D7-B059-FF958C021C33}"/>
    <cellStyle name="Porcentaje 24 3 4" xfId="6968" xr:uid="{222BAE9D-B9E0-4F2F-B851-695B52A62346}"/>
    <cellStyle name="Porcentaje 24 4" xfId="2849" xr:uid="{0074A1A8-5A48-443E-9D24-C136888E5812}"/>
    <cellStyle name="Porcentaje 24 4 2" xfId="5273" xr:uid="{F17CCB33-42FB-4B7F-B8BF-78BA25EAE322}"/>
    <cellStyle name="Porcentaje 24 4 2 2" xfId="9841" xr:uid="{6A3B3EC5-8A23-4FBF-8891-E03DBC6A2A1A}"/>
    <cellStyle name="Porcentaje 24 4 3" xfId="7549" xr:uid="{0AD52136-FAE9-4989-822C-4E8329A71441}"/>
    <cellStyle name="Porcentaje 24 5" xfId="4264" xr:uid="{FE4EB2BC-7C35-40FB-B433-74C52564A1C9}"/>
    <cellStyle name="Porcentaje 24 5 2" xfId="8832" xr:uid="{9FA6228D-799C-45EB-A9CF-C8F9B9054FF4}"/>
    <cellStyle name="Porcentaje 24 6" xfId="6540" xr:uid="{7B1E1783-404E-4BFB-BB26-894965837B58}"/>
    <cellStyle name="Porcentaje 24 7" xfId="1621" xr:uid="{7AD86CA5-0AAF-4058-9944-FC816C3D9FF8}"/>
    <cellStyle name="Porcentaje 25" xfId="1068" xr:uid="{00000000-0005-0000-0000-00003A040000}"/>
    <cellStyle name="Porcentaje 26" xfId="1080" xr:uid="{00000000-0005-0000-0000-00003B040000}"/>
    <cellStyle name="Porcentaje 27" xfId="1082" xr:uid="{00000000-0005-0000-0000-00003C040000}"/>
    <cellStyle name="Porcentaje 28" xfId="1093" xr:uid="{00000000-0005-0000-0000-00003D040000}"/>
    <cellStyle name="Porcentaje 29" xfId="1106" xr:uid="{00000000-0005-0000-0000-00003E040000}"/>
    <cellStyle name="Porcentaje 3" xfId="753" xr:uid="{00000000-0005-0000-0000-00003F040000}"/>
    <cellStyle name="Porcentaje 3 2" xfId="754" xr:uid="{00000000-0005-0000-0000-000040040000}"/>
    <cellStyle name="Porcentaje 3 3" xfId="755" xr:uid="{00000000-0005-0000-0000-000041040000}"/>
    <cellStyle name="Porcentaje 30" xfId="1127" xr:uid="{00000000-0005-0000-0000-000042040000}"/>
    <cellStyle name="Porcentaje 31" xfId="1144" xr:uid="{00000000-0005-0000-0000-000043040000}"/>
    <cellStyle name="Porcentaje 32" xfId="1162" xr:uid="{00000000-0005-0000-0000-000044040000}"/>
    <cellStyle name="Porcentaje 33" xfId="1177" xr:uid="{00000000-0005-0000-0000-000045040000}"/>
    <cellStyle name="Porcentaje 34" xfId="1196" xr:uid="{00000000-0005-0000-0000-000046040000}"/>
    <cellStyle name="Porcentaje 35" xfId="1216" xr:uid="{00000000-0005-0000-0000-000047040000}"/>
    <cellStyle name="Porcentaje 36" xfId="1225" xr:uid="{00000000-0005-0000-0000-000048040000}"/>
    <cellStyle name="Porcentaje 37" xfId="1248" xr:uid="{00000000-0005-0000-0000-000049040000}"/>
    <cellStyle name="Porcentaje 38" xfId="1275" xr:uid="{5C509420-2361-4C61-850D-B7981995DE8F}"/>
    <cellStyle name="Porcentaje 39" xfId="1296" xr:uid="{503023EE-75CE-4882-A77B-A1C718B30BB3}"/>
    <cellStyle name="Porcentaje 4" xfId="756" xr:uid="{00000000-0005-0000-0000-00004A040000}"/>
    <cellStyle name="Porcentaje 4 2" xfId="757" xr:uid="{00000000-0005-0000-0000-00004B040000}"/>
    <cellStyle name="Porcentaje 40" xfId="1324" xr:uid="{1F3CA518-2BED-4EC4-81A9-E44D5E5B2903}"/>
    <cellStyle name="Porcentaje 5" xfId="758" xr:uid="{00000000-0005-0000-0000-00004C040000}"/>
    <cellStyle name="Porcentaje 5 2" xfId="759" xr:uid="{00000000-0005-0000-0000-00004D040000}"/>
    <cellStyle name="Porcentaje 6" xfId="760" xr:uid="{00000000-0005-0000-0000-00004E040000}"/>
    <cellStyle name="Porcentaje 6 2" xfId="761" xr:uid="{00000000-0005-0000-0000-00004F040000}"/>
    <cellStyle name="Porcentaje 7" xfId="762" xr:uid="{00000000-0005-0000-0000-000050040000}"/>
    <cellStyle name="Porcentaje 7 2" xfId="763" xr:uid="{00000000-0005-0000-0000-000051040000}"/>
    <cellStyle name="Porcentaje 8" xfId="764" xr:uid="{00000000-0005-0000-0000-000052040000}"/>
    <cellStyle name="Porcentaje 8 2" xfId="765" xr:uid="{00000000-0005-0000-0000-000053040000}"/>
    <cellStyle name="Porcentaje 9" xfId="766" xr:uid="{00000000-0005-0000-0000-000054040000}"/>
    <cellStyle name="Porcentaje 9 2" xfId="767" xr:uid="{00000000-0005-0000-0000-000055040000}"/>
    <cellStyle name="Porcentual 10" xfId="768" xr:uid="{00000000-0005-0000-0000-000056040000}"/>
    <cellStyle name="Porcentual 10 2" xfId="769" xr:uid="{00000000-0005-0000-0000-000057040000}"/>
    <cellStyle name="Porcentual 11" xfId="770" xr:uid="{00000000-0005-0000-0000-000058040000}"/>
    <cellStyle name="Porcentual 11 2" xfId="771" xr:uid="{00000000-0005-0000-0000-000059040000}"/>
    <cellStyle name="Porcentual 12" xfId="772" xr:uid="{00000000-0005-0000-0000-00005A040000}"/>
    <cellStyle name="Porcentual 12 2" xfId="773" xr:uid="{00000000-0005-0000-0000-00005B040000}"/>
    <cellStyle name="Porcentual 2" xfId="774" xr:uid="{00000000-0005-0000-0000-00005C040000}"/>
    <cellStyle name="Porcentual 2 2" xfId="775" xr:uid="{00000000-0005-0000-0000-00005D040000}"/>
    <cellStyle name="Porcentual 2 3" xfId="776" xr:uid="{00000000-0005-0000-0000-00005E040000}"/>
    <cellStyle name="Porcentual 3" xfId="777" xr:uid="{00000000-0005-0000-0000-00005F040000}"/>
    <cellStyle name="Porcentual 3 2" xfId="778" xr:uid="{00000000-0005-0000-0000-000060040000}"/>
    <cellStyle name="Porcentual 3 2 2" xfId="779" xr:uid="{00000000-0005-0000-0000-000061040000}"/>
    <cellStyle name="Porcentual 4" xfId="780" xr:uid="{00000000-0005-0000-0000-000062040000}"/>
    <cellStyle name="Porcentual 4 2" xfId="781" xr:uid="{00000000-0005-0000-0000-000063040000}"/>
    <cellStyle name="Porcentual 4 3" xfId="782" xr:uid="{00000000-0005-0000-0000-000064040000}"/>
    <cellStyle name="Porcentual 4 4" xfId="944" xr:uid="{00000000-0005-0000-0000-000065040000}"/>
    <cellStyle name="Porcentual 5" xfId="783" xr:uid="{00000000-0005-0000-0000-000066040000}"/>
    <cellStyle name="Porcentual 5 2" xfId="784" xr:uid="{00000000-0005-0000-0000-000067040000}"/>
    <cellStyle name="Porcentual 5 3" xfId="785" xr:uid="{00000000-0005-0000-0000-000068040000}"/>
    <cellStyle name="Porcentual 6" xfId="786" xr:uid="{00000000-0005-0000-0000-000069040000}"/>
    <cellStyle name="Porcentual 6 2" xfId="787" xr:uid="{00000000-0005-0000-0000-00006A040000}"/>
    <cellStyle name="Porcentual 7" xfId="788" xr:uid="{00000000-0005-0000-0000-00006B040000}"/>
    <cellStyle name="Porcentual 7 2" xfId="789" xr:uid="{00000000-0005-0000-0000-00006C040000}"/>
    <cellStyle name="Porcentual 8" xfId="790" xr:uid="{00000000-0005-0000-0000-00006D040000}"/>
    <cellStyle name="Porcentual 8 2" xfId="791" xr:uid="{00000000-0005-0000-0000-00006E040000}"/>
    <cellStyle name="Porcentual 9" xfId="792" xr:uid="{00000000-0005-0000-0000-00006F040000}"/>
    <cellStyle name="Porcentual 9 2" xfId="793" xr:uid="{00000000-0005-0000-0000-000070040000}"/>
    <cellStyle name="Print_header" xfId="794" xr:uid="{00000000-0005-0000-0000-000071040000}"/>
    <cellStyle name="Protected" xfId="795" xr:uid="{00000000-0005-0000-0000-000072040000}"/>
    <cellStyle name="Qté calculées" xfId="796" xr:uid="{00000000-0005-0000-0000-000073040000}"/>
    <cellStyle name="QTé entrées" xfId="797" xr:uid="{00000000-0005-0000-0000-000074040000}"/>
    <cellStyle name="rate" xfId="798" xr:uid="{00000000-0005-0000-0000-000075040000}"/>
    <cellStyle name="Ratio" xfId="799" xr:uid="{00000000-0005-0000-0000-000076040000}"/>
    <cellStyle name="Ratio 2" xfId="800" xr:uid="{00000000-0005-0000-0000-000077040000}"/>
    <cellStyle name="Ratio Comma" xfId="801" xr:uid="{00000000-0005-0000-0000-000078040000}"/>
    <cellStyle name="Ratio_Modelo Wacc_Chemicals" xfId="802" xr:uid="{00000000-0005-0000-0000-000079040000}"/>
    <cellStyle name="Red font" xfId="803" xr:uid="{00000000-0005-0000-0000-00007A040000}"/>
    <cellStyle name="Roadrunner" xfId="804" xr:uid="{00000000-0005-0000-0000-00007B040000}"/>
    <cellStyle name="Roadrunner 2" xfId="805" xr:uid="{00000000-0005-0000-0000-00007C040000}"/>
    <cellStyle name="Salida 2" xfId="806" xr:uid="{00000000-0005-0000-0000-00007D040000}"/>
    <cellStyle name="Salida 3" xfId="807" xr:uid="{00000000-0005-0000-0000-00007E040000}"/>
    <cellStyle name="Salida 4" xfId="808" xr:uid="{00000000-0005-0000-0000-00007F040000}"/>
    <cellStyle name="SAP_Segm_contr_encabezado" xfId="1954" xr:uid="{D10661DC-B313-4C33-AE7E-410C737A48EE}"/>
    <cellStyle name="SAPBEXaggData" xfId="809" xr:uid="{00000000-0005-0000-0000-000080040000}"/>
    <cellStyle name="SAPBEXaggDataEmph" xfId="810" xr:uid="{00000000-0005-0000-0000-000081040000}"/>
    <cellStyle name="SAPBEXaggItem" xfId="811" xr:uid="{00000000-0005-0000-0000-000082040000}"/>
    <cellStyle name="SAPBEXchaText" xfId="812" xr:uid="{00000000-0005-0000-0000-000083040000}"/>
    <cellStyle name="SAPBEXexcBad7" xfId="813" xr:uid="{00000000-0005-0000-0000-000084040000}"/>
    <cellStyle name="SAPBEXexcBad8" xfId="814" xr:uid="{00000000-0005-0000-0000-000085040000}"/>
    <cellStyle name="SAPBEXexcBad9" xfId="815" xr:uid="{00000000-0005-0000-0000-000086040000}"/>
    <cellStyle name="SAPBEXexcCritical4" xfId="816" xr:uid="{00000000-0005-0000-0000-000087040000}"/>
    <cellStyle name="SAPBEXexcCritical5" xfId="817" xr:uid="{00000000-0005-0000-0000-000088040000}"/>
    <cellStyle name="SAPBEXexcCritical6" xfId="818" xr:uid="{00000000-0005-0000-0000-000089040000}"/>
    <cellStyle name="SAPBEXexcGood1" xfId="819" xr:uid="{00000000-0005-0000-0000-00008A040000}"/>
    <cellStyle name="SAPBEXexcGood2" xfId="820" xr:uid="{00000000-0005-0000-0000-00008B040000}"/>
    <cellStyle name="SAPBEXexcGood3" xfId="821" xr:uid="{00000000-0005-0000-0000-00008C040000}"/>
    <cellStyle name="SAPBEXfilterDrill" xfId="822" xr:uid="{00000000-0005-0000-0000-00008D040000}"/>
    <cellStyle name="SAPBEXfilterItem" xfId="823" xr:uid="{00000000-0005-0000-0000-00008E040000}"/>
    <cellStyle name="SAPBEXfilterText" xfId="824" xr:uid="{00000000-0005-0000-0000-00008F040000}"/>
    <cellStyle name="SAPBEXformats" xfId="825" xr:uid="{00000000-0005-0000-0000-000090040000}"/>
    <cellStyle name="SAPBEXheaderItem" xfId="826" xr:uid="{00000000-0005-0000-0000-000091040000}"/>
    <cellStyle name="SAPBEXheaderItem 2" xfId="827" xr:uid="{00000000-0005-0000-0000-000092040000}"/>
    <cellStyle name="SAPBEXheaderText" xfId="828" xr:uid="{00000000-0005-0000-0000-000093040000}"/>
    <cellStyle name="SAPBEXheaderText 2" xfId="829" xr:uid="{00000000-0005-0000-0000-000094040000}"/>
    <cellStyle name="SAPBEXresData" xfId="830" xr:uid="{00000000-0005-0000-0000-000095040000}"/>
    <cellStyle name="SAPBEXresDataEmph" xfId="831" xr:uid="{00000000-0005-0000-0000-000096040000}"/>
    <cellStyle name="SAPBEXresItem" xfId="832" xr:uid="{00000000-0005-0000-0000-000097040000}"/>
    <cellStyle name="SAPBEXstdData" xfId="833" xr:uid="{00000000-0005-0000-0000-000098040000}"/>
    <cellStyle name="SAPBEXstdData 2" xfId="834" xr:uid="{00000000-0005-0000-0000-000099040000}"/>
    <cellStyle name="SAPBEXstdDataEmph" xfId="835" xr:uid="{00000000-0005-0000-0000-00009A040000}"/>
    <cellStyle name="SAPBEXstdItem" xfId="836" xr:uid="{00000000-0005-0000-0000-00009B040000}"/>
    <cellStyle name="SAPBEXstdItem 2" xfId="837" xr:uid="{00000000-0005-0000-0000-00009C040000}"/>
    <cellStyle name="SAPBEXtitle" xfId="838" xr:uid="{00000000-0005-0000-0000-00009D040000}"/>
    <cellStyle name="SAPBEXundefined" xfId="839" xr:uid="{00000000-0005-0000-0000-00009E040000}"/>
    <cellStyle name="SAPDataCell_Bal_TItulo" xfId="1946" xr:uid="{862C4F86-5036-46B6-9C18-226E45CC48B0}"/>
    <cellStyle name="SAPLocked" xfId="840" xr:uid="{00000000-0005-0000-0000-00009F040000}"/>
    <cellStyle name="SAPMemberCell_Encabezado_ORANGE" xfId="1040" xr:uid="{00000000-0005-0000-0000-0000A0040000}"/>
    <cellStyle name="SAPOutput" xfId="841" xr:uid="{00000000-0005-0000-0000-0000A1040000}"/>
    <cellStyle name="SAPUnLocked" xfId="842" xr:uid="{00000000-0005-0000-0000-0000A2040000}"/>
    <cellStyle name="Section" xfId="843" xr:uid="{00000000-0005-0000-0000-0000A3040000}"/>
    <cellStyle name="Separador de milhares_060403 PMT NorteFluminense GSantamarina" xfId="844" xr:uid="{00000000-0005-0000-0000-0000A4040000}"/>
    <cellStyle name="ssubtitulo" xfId="845" xr:uid="{00000000-0005-0000-0000-0000A5040000}"/>
    <cellStyle name="Standard_ABSATZTB_HY00" xfId="846" xr:uid="{00000000-0005-0000-0000-0000A6040000}"/>
    <cellStyle name="Stock Comma" xfId="847" xr:uid="{00000000-0005-0000-0000-0000A7040000}"/>
    <cellStyle name="Stock Comma 2" xfId="848" xr:uid="{00000000-0005-0000-0000-0000A8040000}"/>
    <cellStyle name="Stock Price" xfId="849" xr:uid="{00000000-0005-0000-0000-0000A9040000}"/>
    <cellStyle name="Style 21" xfId="850" xr:uid="{00000000-0005-0000-0000-0000AA040000}"/>
    <cellStyle name="STYLE1" xfId="851" xr:uid="{00000000-0005-0000-0000-0000AB040000}"/>
    <cellStyle name="STYLE1 2" xfId="852" xr:uid="{00000000-0005-0000-0000-0000AC040000}"/>
    <cellStyle name="STYLE2" xfId="853" xr:uid="{00000000-0005-0000-0000-0000AD040000}"/>
    <cellStyle name="STYLE2 2" xfId="854" xr:uid="{00000000-0005-0000-0000-0000AE040000}"/>
    <cellStyle name="STYLE3" xfId="855" xr:uid="{00000000-0005-0000-0000-0000AF040000}"/>
    <cellStyle name="STYLE3 2" xfId="856" xr:uid="{00000000-0005-0000-0000-0000B0040000}"/>
    <cellStyle name="STYLE4" xfId="857" xr:uid="{00000000-0005-0000-0000-0000B1040000}"/>
    <cellStyle name="STYLE4 2" xfId="858" xr:uid="{00000000-0005-0000-0000-0000B2040000}"/>
    <cellStyle name="subtitulo" xfId="859" xr:uid="{00000000-0005-0000-0000-0000B3040000}"/>
    <cellStyle name="Tag" xfId="860" xr:uid="{00000000-0005-0000-0000-0000B4040000}"/>
    <cellStyle name="Test" xfId="861" xr:uid="{00000000-0005-0000-0000-0000B5040000}"/>
    <cellStyle name="Test 2" xfId="862" xr:uid="{00000000-0005-0000-0000-0000B6040000}"/>
    <cellStyle name="TESTE" xfId="863" xr:uid="{00000000-0005-0000-0000-0000B7040000}"/>
    <cellStyle name="Text" xfId="864" xr:uid="{00000000-0005-0000-0000-0000B8040000}"/>
    <cellStyle name="Text 2" xfId="865" xr:uid="{00000000-0005-0000-0000-0000B9040000}"/>
    <cellStyle name="Texto de advertencia 2" xfId="866" xr:uid="{00000000-0005-0000-0000-0000BA040000}"/>
    <cellStyle name="Texto de advertencia 3" xfId="867" xr:uid="{00000000-0005-0000-0000-0000BB040000}"/>
    <cellStyle name="Texto de advertencia 4" xfId="868" xr:uid="{00000000-0005-0000-0000-0000BC040000}"/>
    <cellStyle name="Texto explicativo 2" xfId="869" xr:uid="{00000000-0005-0000-0000-0000BD040000}"/>
    <cellStyle name="Texto explicativo 3" xfId="870" xr:uid="{00000000-0005-0000-0000-0000BE040000}"/>
    <cellStyle name="Texto explicativo 4" xfId="871" xr:uid="{00000000-0005-0000-0000-0000BF040000}"/>
    <cellStyle name="TFCF" xfId="872" xr:uid="{00000000-0005-0000-0000-0000C0040000}"/>
    <cellStyle name="Times" xfId="873" xr:uid="{00000000-0005-0000-0000-0000C1040000}"/>
    <cellStyle name="Title" xfId="874" xr:uid="{00000000-0005-0000-0000-0000C2040000}"/>
    <cellStyle name="Title 2" xfId="875" xr:uid="{00000000-0005-0000-0000-0000C3040000}"/>
    <cellStyle name="Title_PYG CemArgos consolidado" xfId="876" xr:uid="{00000000-0005-0000-0000-0000C4040000}"/>
    <cellStyle name="titulo" xfId="877" xr:uid="{00000000-0005-0000-0000-0000C5040000}"/>
    <cellStyle name="Título 1 2" xfId="878" xr:uid="{00000000-0005-0000-0000-0000C6040000}"/>
    <cellStyle name="Título 1 3" xfId="879" xr:uid="{00000000-0005-0000-0000-0000C7040000}"/>
    <cellStyle name="Título 1 4" xfId="880" xr:uid="{00000000-0005-0000-0000-0000C8040000}"/>
    <cellStyle name="Título 2 2" xfId="881" xr:uid="{00000000-0005-0000-0000-0000CA040000}"/>
    <cellStyle name="Título 2 3" xfId="882" xr:uid="{00000000-0005-0000-0000-0000CB040000}"/>
    <cellStyle name="Título 2 3 2" xfId="946" xr:uid="{00000000-0005-0000-0000-0000CC040000}"/>
    <cellStyle name="Título 2 4" xfId="883" xr:uid="{00000000-0005-0000-0000-0000CD040000}"/>
    <cellStyle name="Título 3 2" xfId="884" xr:uid="{00000000-0005-0000-0000-0000CE040000}"/>
    <cellStyle name="Título 3 3" xfId="885" xr:uid="{00000000-0005-0000-0000-0000CF040000}"/>
    <cellStyle name="Título 3 4" xfId="886" xr:uid="{00000000-0005-0000-0000-0000D0040000}"/>
    <cellStyle name="Título 4" xfId="887" xr:uid="{00000000-0005-0000-0000-0000D1040000}"/>
    <cellStyle name="Título 5" xfId="888" xr:uid="{00000000-0005-0000-0000-0000D2040000}"/>
    <cellStyle name="Titulo de conta" xfId="889" xr:uid="{00000000-0005-0000-0000-0000D3040000}"/>
    <cellStyle name="titulomov" xfId="890" xr:uid="{00000000-0005-0000-0000-0000D4040000}"/>
    <cellStyle name="Todos" xfId="891" xr:uid="{00000000-0005-0000-0000-0000D5040000}"/>
    <cellStyle name="Top Edge" xfId="892" xr:uid="{00000000-0005-0000-0000-0000D6040000}"/>
    <cellStyle name="Total 2" xfId="893" xr:uid="{00000000-0005-0000-0000-0000D7040000}"/>
    <cellStyle name="Total 3" xfId="894" xr:uid="{00000000-0005-0000-0000-0000D8040000}"/>
    <cellStyle name="Total 4" xfId="895" xr:uid="{00000000-0005-0000-0000-0000D9040000}"/>
    <cellStyle name="Total-1" xfId="896" xr:uid="{00000000-0005-0000-0000-0000DA040000}"/>
    <cellStyle name="Total-2" xfId="897" xr:uid="{00000000-0005-0000-0000-0000DB040000}"/>
    <cellStyle name="totalbalan" xfId="898" xr:uid="{00000000-0005-0000-0000-0000DC040000}"/>
    <cellStyle name="ubordinated Debt" xfId="899" xr:uid="{00000000-0005-0000-0000-0000DD040000}"/>
    <cellStyle name="User Entered" xfId="900" xr:uid="{00000000-0005-0000-0000-0000DE040000}"/>
    <cellStyle name="Valuta (0)_1320 NX" xfId="901" xr:uid="{00000000-0005-0000-0000-0000DF040000}"/>
    <cellStyle name="Valuta_1320 NX" xfId="902" xr:uid="{00000000-0005-0000-0000-0000E0040000}"/>
    <cellStyle name="Virgule fixe" xfId="903" xr:uid="{00000000-0005-0000-0000-0000E1040000}"/>
    <cellStyle name="Währung [0]_2CEMENT" xfId="904" xr:uid="{00000000-0005-0000-0000-0000E2040000}"/>
    <cellStyle name="Währung[0]" xfId="905" xr:uid="{00000000-0005-0000-0000-0000E3040000}"/>
    <cellStyle name="Währung_2CEMENT" xfId="906" xr:uid="{00000000-0005-0000-0000-0000E4040000}"/>
    <cellStyle name="Warning Text" xfId="907" xr:uid="{00000000-0005-0000-0000-0000E5040000}"/>
    <cellStyle name="Warning Text 2" xfId="908" xr:uid="{00000000-0005-0000-0000-0000E6040000}"/>
    <cellStyle name="Warning Text_PYG CemArgos consolidado" xfId="909" xr:uid="{00000000-0005-0000-0000-0000E7040000}"/>
    <cellStyle name="White" xfId="910" xr:uid="{00000000-0005-0000-0000-0000E8040000}"/>
    <cellStyle name="WrappedBold" xfId="911" xr:uid="{00000000-0005-0000-0000-0000E9040000}"/>
    <cellStyle name="Year" xfId="912" xr:uid="{00000000-0005-0000-0000-0000EA040000}"/>
    <cellStyle name="Year-Dim" xfId="913" xr:uid="{00000000-0005-0000-0000-0000EB040000}"/>
    <cellStyle name="Zeilenebene_2_CEMENT" xfId="914" xr:uid="{00000000-0005-0000-0000-0000EC040000}"/>
  </cellStyles>
  <dxfs count="0"/>
  <tableStyles count="0" defaultTableStyle="TableStyleMedium2" defaultPivotStyle="PivotStyleLight16"/>
  <colors>
    <mruColors>
      <color rgb="FFF2F2F2"/>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08709457511893E-2"/>
          <c:y val="0.10609632545931759"/>
          <c:w val="0.91521565904718871"/>
          <c:h val="0.80422901114950329"/>
        </c:manualLayout>
      </c:layout>
      <c:barChart>
        <c:barDir val="col"/>
        <c:grouping val="stacked"/>
        <c:varyColors val="0"/>
        <c:ser>
          <c:idx val="0"/>
          <c:order val="0"/>
          <c:spPr>
            <a:noFill/>
            <a:ln w="25400">
              <a:noFill/>
            </a:ln>
            <a:effectLst/>
            <a:scene3d>
              <a:camera prst="orthographicFront"/>
              <a:lightRig rig="threePt" dir="t"/>
            </a:scene3d>
            <a:sp3d prstMaterial="matte"/>
          </c:spPr>
          <c:invertIfNegative val="0"/>
          <c:dPt>
            <c:idx val="0"/>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01-E7A0-43CE-B2B0-77C2077E8096}"/>
              </c:ext>
            </c:extLst>
          </c:dPt>
          <c:dPt>
            <c:idx val="1"/>
            <c:invertIfNegative val="0"/>
            <c:bubble3D val="0"/>
            <c:spPr>
              <a:noFill/>
              <a:ln w="25400">
                <a:noFill/>
              </a:ln>
            </c:spPr>
            <c:extLst>
              <c:ext xmlns:c16="http://schemas.microsoft.com/office/drawing/2014/chart" uri="{C3380CC4-5D6E-409C-BE32-E72D297353CC}">
                <c16:uniqueId val="{00000003-E7A0-43CE-B2B0-77C2077E8096}"/>
              </c:ext>
            </c:extLst>
          </c:dPt>
          <c:dPt>
            <c:idx val="2"/>
            <c:invertIfNegative val="0"/>
            <c:bubble3D val="0"/>
            <c:spPr>
              <a:noFill/>
              <a:ln w="25400">
                <a:noFill/>
              </a:ln>
            </c:spPr>
            <c:extLst>
              <c:ext xmlns:c16="http://schemas.microsoft.com/office/drawing/2014/chart" uri="{C3380CC4-5D6E-409C-BE32-E72D297353CC}">
                <c16:uniqueId val="{00000005-E7A0-43CE-B2B0-77C2077E8096}"/>
              </c:ext>
            </c:extLst>
          </c:dPt>
          <c:dPt>
            <c:idx val="3"/>
            <c:invertIfNegative val="0"/>
            <c:bubble3D val="0"/>
            <c:spPr>
              <a:noFill/>
              <a:ln w="25400">
                <a:noFill/>
              </a:ln>
            </c:spPr>
            <c:extLst>
              <c:ext xmlns:c16="http://schemas.microsoft.com/office/drawing/2014/chart" uri="{C3380CC4-5D6E-409C-BE32-E72D297353CC}">
                <c16:uniqueId val="{00000007-E7A0-43CE-B2B0-77C2077E8096}"/>
              </c:ext>
            </c:extLst>
          </c:dPt>
          <c:dPt>
            <c:idx val="4"/>
            <c:invertIfNegative val="0"/>
            <c:bubble3D val="0"/>
            <c:spPr>
              <a:noFill/>
              <a:ln w="25400">
                <a:noFill/>
              </a:ln>
            </c:spPr>
            <c:extLst>
              <c:ext xmlns:c16="http://schemas.microsoft.com/office/drawing/2014/chart" uri="{C3380CC4-5D6E-409C-BE32-E72D297353CC}">
                <c16:uniqueId val="{00000009-E7A0-43CE-B2B0-77C2077E8096}"/>
              </c:ext>
            </c:extLst>
          </c:dPt>
          <c:dPt>
            <c:idx val="5"/>
            <c:invertIfNegative val="0"/>
            <c:bubble3D val="0"/>
            <c:spPr>
              <a:noFill/>
              <a:ln w="25400">
                <a:noFill/>
              </a:ln>
            </c:spPr>
            <c:extLst>
              <c:ext xmlns:c16="http://schemas.microsoft.com/office/drawing/2014/chart" uri="{C3380CC4-5D6E-409C-BE32-E72D297353CC}">
                <c16:uniqueId val="{0000000B-E7A0-43CE-B2B0-77C2077E8096}"/>
              </c:ext>
            </c:extLst>
          </c:dPt>
          <c:dPt>
            <c:idx val="6"/>
            <c:invertIfNegative val="0"/>
            <c:bubble3D val="0"/>
            <c:spPr>
              <a:noFill/>
              <a:ln w="25400">
                <a:noFill/>
              </a:ln>
            </c:spPr>
            <c:extLst>
              <c:ext xmlns:c16="http://schemas.microsoft.com/office/drawing/2014/chart" uri="{C3380CC4-5D6E-409C-BE32-E72D297353CC}">
                <c16:uniqueId val="{0000000D-E7A0-43CE-B2B0-77C2077E8096}"/>
              </c:ext>
            </c:extLst>
          </c:dPt>
          <c:dPt>
            <c:idx val="7"/>
            <c:invertIfNegative val="0"/>
            <c:bubble3D val="0"/>
            <c:spPr>
              <a:noFill/>
              <a:ln w="25400">
                <a:noFill/>
              </a:ln>
            </c:spPr>
            <c:extLst>
              <c:ext xmlns:c16="http://schemas.microsoft.com/office/drawing/2014/chart" uri="{C3380CC4-5D6E-409C-BE32-E72D297353CC}">
                <c16:uniqueId val="{0000000F-E7A0-43CE-B2B0-77C2077E8096}"/>
              </c:ext>
            </c:extLst>
          </c:dPt>
          <c:dPt>
            <c:idx val="8"/>
            <c:invertIfNegative val="0"/>
            <c:bubble3D val="0"/>
            <c:spPr>
              <a:solidFill>
                <a:schemeClr val="tx2">
                  <a:lumMod val="50000"/>
                </a:schemeClr>
              </a:solidFill>
              <a:ln w="25400">
                <a:noFill/>
              </a:ln>
            </c:spPr>
            <c:extLst>
              <c:ext xmlns:c16="http://schemas.microsoft.com/office/drawing/2014/chart" uri="{C3380CC4-5D6E-409C-BE32-E72D297353CC}">
                <c16:uniqueId val="{00000011-E7A0-43CE-B2B0-77C2077E8096}"/>
              </c:ext>
            </c:extLst>
          </c:dPt>
          <c:dPt>
            <c:idx val="9"/>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13-E7A0-43CE-B2B0-77C2077E8096}"/>
              </c:ext>
            </c:extLst>
          </c:dPt>
          <c:dPt>
            <c:idx val="10"/>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15-E7A0-43CE-B2B0-77C2077E8096}"/>
              </c:ext>
            </c:extLst>
          </c:dPt>
          <c:dPt>
            <c:idx val="11"/>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17-E7A0-43CE-B2B0-77C2077E8096}"/>
              </c:ext>
            </c:extLst>
          </c:dPt>
          <c:dLbls>
            <c:dLbl>
              <c:idx val="0"/>
              <c:layout>
                <c:manualLayout>
                  <c:x val="1.291238943766544E-3"/>
                  <c:y val="-0.403077165354330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A0-43CE-B2B0-77C2077E8096}"/>
                </c:ext>
              </c:extLst>
            </c:dLbl>
            <c:dLbl>
              <c:idx val="1"/>
              <c:delete val="1"/>
              <c:extLst>
                <c:ext xmlns:c15="http://schemas.microsoft.com/office/drawing/2012/chart" uri="{CE6537A1-D6FC-4f65-9D91-7224C49458BB}"/>
                <c:ext xmlns:c16="http://schemas.microsoft.com/office/drawing/2014/chart" uri="{C3380CC4-5D6E-409C-BE32-E72D297353CC}">
                  <c16:uniqueId val="{00000003-E7A0-43CE-B2B0-77C2077E8096}"/>
                </c:ext>
              </c:extLst>
            </c:dLbl>
            <c:dLbl>
              <c:idx val="2"/>
              <c:delete val="1"/>
              <c:extLst>
                <c:ext xmlns:c15="http://schemas.microsoft.com/office/drawing/2012/chart" uri="{CE6537A1-D6FC-4f65-9D91-7224C49458BB}"/>
                <c:ext xmlns:c16="http://schemas.microsoft.com/office/drawing/2014/chart" uri="{C3380CC4-5D6E-409C-BE32-E72D297353CC}">
                  <c16:uniqueId val="{00000005-E7A0-43CE-B2B0-77C2077E8096}"/>
                </c:ext>
              </c:extLst>
            </c:dLbl>
            <c:dLbl>
              <c:idx val="3"/>
              <c:delete val="1"/>
              <c:extLst>
                <c:ext xmlns:c15="http://schemas.microsoft.com/office/drawing/2012/chart" uri="{CE6537A1-D6FC-4f65-9D91-7224C49458BB}"/>
                <c:ext xmlns:c16="http://schemas.microsoft.com/office/drawing/2014/chart" uri="{C3380CC4-5D6E-409C-BE32-E72D297353CC}">
                  <c16:uniqueId val="{00000007-E7A0-43CE-B2B0-77C2077E8096}"/>
                </c:ext>
              </c:extLst>
            </c:dLbl>
            <c:dLbl>
              <c:idx val="4"/>
              <c:delete val="1"/>
              <c:extLst>
                <c:ext xmlns:c15="http://schemas.microsoft.com/office/drawing/2012/chart" uri="{CE6537A1-D6FC-4f65-9D91-7224C49458BB}"/>
                <c:ext xmlns:c16="http://schemas.microsoft.com/office/drawing/2014/chart" uri="{C3380CC4-5D6E-409C-BE32-E72D297353CC}">
                  <c16:uniqueId val="{00000009-E7A0-43CE-B2B0-77C2077E8096}"/>
                </c:ext>
              </c:extLst>
            </c:dLbl>
            <c:dLbl>
              <c:idx val="5"/>
              <c:delete val="1"/>
              <c:extLst>
                <c:ext xmlns:c15="http://schemas.microsoft.com/office/drawing/2012/chart" uri="{CE6537A1-D6FC-4f65-9D91-7224C49458BB}"/>
                <c:ext xmlns:c16="http://schemas.microsoft.com/office/drawing/2014/chart" uri="{C3380CC4-5D6E-409C-BE32-E72D297353CC}">
                  <c16:uniqueId val="{0000000B-E7A0-43CE-B2B0-77C2077E8096}"/>
                </c:ext>
              </c:extLst>
            </c:dLbl>
            <c:dLbl>
              <c:idx val="6"/>
              <c:delete val="1"/>
              <c:extLst>
                <c:ext xmlns:c15="http://schemas.microsoft.com/office/drawing/2012/chart" uri="{CE6537A1-D6FC-4f65-9D91-7224C49458BB}"/>
                <c:ext xmlns:c16="http://schemas.microsoft.com/office/drawing/2014/chart" uri="{C3380CC4-5D6E-409C-BE32-E72D297353CC}">
                  <c16:uniqueId val="{0000000D-E7A0-43CE-B2B0-77C2077E8096}"/>
                </c:ext>
              </c:extLst>
            </c:dLbl>
            <c:dLbl>
              <c:idx val="7"/>
              <c:delete val="1"/>
              <c:extLst>
                <c:ext xmlns:c15="http://schemas.microsoft.com/office/drawing/2012/chart" uri="{CE6537A1-D6FC-4f65-9D91-7224C49458BB}"/>
                <c:ext xmlns:c16="http://schemas.microsoft.com/office/drawing/2014/chart" uri="{C3380CC4-5D6E-409C-BE32-E72D297353CC}">
                  <c16:uniqueId val="{0000000F-E7A0-43CE-B2B0-77C2077E8096}"/>
                </c:ext>
              </c:extLst>
            </c:dLbl>
            <c:dLbl>
              <c:idx val="8"/>
              <c:layout>
                <c:manualLayout>
                  <c:x val="-2.5454691493023937E-3"/>
                  <c:y val="-0.340599212598425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7A0-43CE-B2B0-77C2077E8096}"/>
                </c:ext>
              </c:extLst>
            </c:dLbl>
            <c:dLbl>
              <c:idx val="9"/>
              <c:layout>
                <c:manualLayout>
                  <c:x val="-3.8367080930688429E-3"/>
                  <c:y val="-0.3574149606299212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7A0-43CE-B2B0-77C2077E8096}"/>
                </c:ext>
              </c:extLst>
            </c:dLbl>
            <c:numFmt formatCode="#,##0" sourceLinked="0"/>
            <c:spPr>
              <a:noFill/>
              <a:ln>
                <a:noFill/>
              </a:ln>
              <a:effectLst/>
            </c:spPr>
            <c:txPr>
              <a:bodyPr wrap="square" lIns="38100" tIns="19050" rIns="38100" bIns="19050" anchor="ctr">
                <a:spAutoFit/>
              </a:bodyPr>
              <a:lstStyle/>
              <a:p>
                <a:pPr>
                  <a:defRPr sz="12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INGRESOS!$B$6:$B$15</c:f>
              <c:strCache>
                <c:ptCount val="10"/>
                <c:pt idx="0">
                  <c:v>Ingresos marzo 2016</c:v>
                </c:pt>
                <c:pt idx="1">
                  <c:v>Cemento</c:v>
                </c:pt>
                <c:pt idx="2">
                  <c:v>Energía</c:v>
                </c:pt>
                <c:pt idx="3">
                  <c:v>Carbón</c:v>
                </c:pt>
                <c:pt idx="4">
                  <c:v>Inmobiliario</c:v>
                </c:pt>
                <c:pt idx="5">
                  <c:v>Concesiones</c:v>
                </c:pt>
                <c:pt idx="6">
                  <c:v>Corporativos</c:v>
                </c:pt>
                <c:pt idx="7">
                  <c:v>Portafolio</c:v>
                </c:pt>
                <c:pt idx="8">
                  <c:v>Ingresos marzo 2017</c:v>
                </c:pt>
                <c:pt idx="9">
                  <c:v>Ppto marzo 2017</c:v>
                </c:pt>
              </c:strCache>
            </c:strRef>
          </c:cat>
          <c:val>
            <c:numRef>
              <c:f>INGRESOS!$C$6:$C$15</c:f>
              <c:numCache>
                <c:formatCode>#,##0</c:formatCode>
                <c:ptCount val="10"/>
                <c:pt idx="0" formatCode="_(* #,##0_);_(* \(#,##0\);_(* &quot;-&quot;??_);_(@_)">
                  <c:v>4042625.358238644</c:v>
                </c:pt>
                <c:pt idx="1">
                  <c:v>3912532.9512966443</c:v>
                </c:pt>
                <c:pt idx="2">
                  <c:v>3292254.2236516448</c:v>
                </c:pt>
                <c:pt idx="3">
                  <c:v>3912532.9512966443</c:v>
                </c:pt>
                <c:pt idx="4">
                  <c:v>3901272.7359876442</c:v>
                </c:pt>
                <c:pt idx="5">
                  <c:v>3931334.9770166441</c:v>
                </c:pt>
                <c:pt idx="6">
                  <c:v>3962265.816844644</c:v>
                </c:pt>
                <c:pt idx="7">
                  <c:v>4058194.0334496442</c:v>
                </c:pt>
                <c:pt idx="8">
                  <c:v>3357193.7949299999</c:v>
                </c:pt>
                <c:pt idx="9" formatCode="_ * #,##0_ ;_ * \-#,##0_ ;_ * &quot;-&quot;??_ ;_ @_ ">
                  <c:v>3601676.0668914672</c:v>
                </c:pt>
              </c:numCache>
            </c:numRef>
          </c:val>
          <c:extLst>
            <c:ext xmlns:c16="http://schemas.microsoft.com/office/drawing/2014/chart" uri="{C3380CC4-5D6E-409C-BE32-E72D297353CC}">
              <c16:uniqueId val="{00000018-E7A0-43CE-B2B0-77C2077E8096}"/>
            </c:ext>
          </c:extLst>
        </c:ser>
        <c:ser>
          <c:idx val="1"/>
          <c:order val="1"/>
          <c:spPr>
            <a:solidFill>
              <a:srgbClr val="99CC00"/>
            </a:solidFill>
            <a:ln w="25400">
              <a:noFill/>
            </a:ln>
          </c:spPr>
          <c:invertIfNegative val="0"/>
          <c:dPt>
            <c:idx val="1"/>
            <c:invertIfNegative val="0"/>
            <c:bubble3D val="0"/>
            <c:spPr>
              <a:solidFill>
                <a:srgbClr val="6681A6"/>
              </a:solidFill>
              <a:ln w="25400">
                <a:noFill/>
              </a:ln>
            </c:spPr>
            <c:extLst>
              <c:ext xmlns:c16="http://schemas.microsoft.com/office/drawing/2014/chart" uri="{C3380CC4-5D6E-409C-BE32-E72D297353CC}">
                <c16:uniqueId val="{0000001A-E7A0-43CE-B2B0-77C2077E8096}"/>
              </c:ext>
            </c:extLst>
          </c:dPt>
          <c:dPt>
            <c:idx val="2"/>
            <c:invertIfNegative val="0"/>
            <c:bubble3D val="0"/>
            <c:spPr>
              <a:solidFill>
                <a:srgbClr val="99ABC3"/>
              </a:solidFill>
              <a:ln w="25400">
                <a:noFill/>
              </a:ln>
            </c:spPr>
            <c:extLst>
              <c:ext xmlns:c16="http://schemas.microsoft.com/office/drawing/2014/chart" uri="{C3380CC4-5D6E-409C-BE32-E72D297353CC}">
                <c16:uniqueId val="{0000001C-E7A0-43CE-B2B0-77C2077E8096}"/>
              </c:ext>
            </c:extLst>
          </c:dPt>
          <c:dPt>
            <c:idx val="3"/>
            <c:invertIfNegative val="0"/>
            <c:bubble3D val="0"/>
            <c:spPr>
              <a:solidFill>
                <a:srgbClr val="335788"/>
              </a:solidFill>
              <a:ln w="25400">
                <a:noFill/>
              </a:ln>
            </c:spPr>
            <c:extLst>
              <c:ext xmlns:c16="http://schemas.microsoft.com/office/drawing/2014/chart" uri="{C3380CC4-5D6E-409C-BE32-E72D297353CC}">
                <c16:uniqueId val="{0000001E-E7A0-43CE-B2B0-77C2077E8096}"/>
              </c:ext>
            </c:extLst>
          </c:dPt>
          <c:dPt>
            <c:idx val="4"/>
            <c:invertIfNegative val="0"/>
            <c:bubble3D val="0"/>
            <c:spPr>
              <a:solidFill>
                <a:srgbClr val="335788"/>
              </a:solidFill>
              <a:ln w="25400">
                <a:noFill/>
              </a:ln>
            </c:spPr>
            <c:extLst>
              <c:ext xmlns:c16="http://schemas.microsoft.com/office/drawing/2014/chart" uri="{C3380CC4-5D6E-409C-BE32-E72D297353CC}">
                <c16:uniqueId val="{00000020-E7A0-43CE-B2B0-77C2077E8096}"/>
              </c:ext>
            </c:extLst>
          </c:dPt>
          <c:dPt>
            <c:idx val="5"/>
            <c:invertIfNegative val="0"/>
            <c:bubble3D val="0"/>
            <c:spPr>
              <a:solidFill>
                <a:srgbClr val="B2C0D2"/>
              </a:solidFill>
              <a:ln w="25400">
                <a:noFill/>
              </a:ln>
            </c:spPr>
            <c:extLst>
              <c:ext xmlns:c16="http://schemas.microsoft.com/office/drawing/2014/chart" uri="{C3380CC4-5D6E-409C-BE32-E72D297353CC}">
                <c16:uniqueId val="{00000022-E7A0-43CE-B2B0-77C2077E8096}"/>
              </c:ext>
            </c:extLst>
          </c:dPt>
          <c:dPt>
            <c:idx val="6"/>
            <c:invertIfNegative val="0"/>
            <c:bubble3D val="0"/>
            <c:spPr>
              <a:solidFill>
                <a:srgbClr val="335788"/>
              </a:solidFill>
              <a:ln w="25400">
                <a:noFill/>
              </a:ln>
            </c:spPr>
            <c:extLst>
              <c:ext xmlns:c16="http://schemas.microsoft.com/office/drawing/2014/chart" uri="{C3380CC4-5D6E-409C-BE32-E72D297353CC}">
                <c16:uniqueId val="{00000024-E7A0-43CE-B2B0-77C2077E8096}"/>
              </c:ext>
            </c:extLst>
          </c:dPt>
          <c:dPt>
            <c:idx val="7"/>
            <c:invertIfNegative val="0"/>
            <c:bubble3D val="0"/>
            <c:spPr>
              <a:solidFill>
                <a:srgbClr val="6681A6"/>
              </a:solidFill>
              <a:ln w="25400">
                <a:noFill/>
              </a:ln>
            </c:spPr>
            <c:extLst>
              <c:ext xmlns:c16="http://schemas.microsoft.com/office/drawing/2014/chart" uri="{C3380CC4-5D6E-409C-BE32-E72D297353CC}">
                <c16:uniqueId val="{00000026-E7A0-43CE-B2B0-77C2077E8096}"/>
              </c:ext>
            </c:extLst>
          </c:dPt>
          <c:dPt>
            <c:idx val="8"/>
            <c:invertIfNegative val="0"/>
            <c:bubble3D val="0"/>
            <c:spPr>
              <a:solidFill>
                <a:srgbClr val="B2C0D2"/>
              </a:solidFill>
              <a:ln w="25400">
                <a:noFill/>
              </a:ln>
            </c:spPr>
            <c:extLst>
              <c:ext xmlns:c16="http://schemas.microsoft.com/office/drawing/2014/chart" uri="{C3380CC4-5D6E-409C-BE32-E72D297353CC}">
                <c16:uniqueId val="{00000028-E7A0-43CE-B2B0-77C2077E8096}"/>
              </c:ext>
            </c:extLst>
          </c:dPt>
          <c:dPt>
            <c:idx val="9"/>
            <c:invertIfNegative val="0"/>
            <c:bubble3D val="0"/>
            <c:spPr>
              <a:solidFill>
                <a:schemeClr val="tx2">
                  <a:lumMod val="40000"/>
                  <a:lumOff val="60000"/>
                </a:schemeClr>
              </a:solidFill>
              <a:ln w="25400">
                <a:noFill/>
              </a:ln>
            </c:spPr>
            <c:extLst>
              <c:ext xmlns:c16="http://schemas.microsoft.com/office/drawing/2014/chart" uri="{C3380CC4-5D6E-409C-BE32-E72D297353CC}">
                <c16:uniqueId val="{0000002A-E7A0-43CE-B2B0-77C2077E8096}"/>
              </c:ext>
            </c:extLst>
          </c:dPt>
          <c:dLbls>
            <c:dLbl>
              <c:idx val="1"/>
              <c:layout>
                <c:manualLayout>
                  <c:x val="3.8737168312996083E-3"/>
                  <c:y val="0.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7A0-43CE-B2B0-77C2077E8096}"/>
                </c:ext>
              </c:extLst>
            </c:dLbl>
            <c:dLbl>
              <c:idx val="2"/>
              <c:layout>
                <c:manualLayout>
                  <c:x val="-1.291238943766544E-3"/>
                  <c:y val="9.96154855643044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7A0-43CE-B2B0-77C2077E8096}"/>
                </c:ext>
              </c:extLst>
            </c:dLbl>
            <c:dLbl>
              <c:idx val="3"/>
              <c:layout>
                <c:manualLayout>
                  <c:x val="9.8418842327985294E-5"/>
                  <c:y val="-3.5000000000000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7A0-43CE-B2B0-77C2077E8096}"/>
                </c:ext>
              </c:extLst>
            </c:dLbl>
            <c:dLbl>
              <c:idx val="4"/>
              <c:layout>
                <c:manualLayout>
                  <c:x val="1.291238943766544E-3"/>
                  <c:y val="4.1794750656167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7A0-43CE-B2B0-77C2077E8096}"/>
                </c:ext>
              </c:extLst>
            </c:dLbl>
            <c:dLbl>
              <c:idx val="5"/>
              <c:layout>
                <c:manualLayout>
                  <c:x val="-2.5824778875330879E-3"/>
                  <c:y val="-5.0769291338582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E7A0-43CE-B2B0-77C2077E8096}"/>
                </c:ext>
              </c:extLst>
            </c:dLbl>
            <c:dLbl>
              <c:idx val="6"/>
              <c:layout>
                <c:manualLayout>
                  <c:x val="0"/>
                  <c:y val="4.52564304461942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E7A0-43CE-B2B0-77C2077E8096}"/>
                </c:ext>
              </c:extLst>
            </c:dLbl>
            <c:dLbl>
              <c:idx val="7"/>
              <c:layout>
                <c:manualLayout>
                  <c:x val="-3.8737168312997267E-3"/>
                  <c:y val="-4.8717847769028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7A0-43CE-B2B0-77C2077E8096}"/>
                </c:ext>
              </c:extLst>
            </c:dLbl>
            <c:spPr>
              <a:noFill/>
              <a:ln>
                <a:noFill/>
              </a:ln>
              <a:effectLst/>
            </c:spPr>
            <c:txPr>
              <a:bodyPr wrap="square" lIns="38100" tIns="19050" rIns="38100" bIns="19050" anchor="ctr">
                <a:spAutoFit/>
              </a:bodyPr>
              <a:lstStyle/>
              <a:p>
                <a:pPr>
                  <a:defRPr sz="1200" b="1" i="0" baseline="0">
                    <a:latin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INGRESOS!$B$6:$B$15</c:f>
              <c:strCache>
                <c:ptCount val="10"/>
                <c:pt idx="0">
                  <c:v>Ingresos marzo 2016</c:v>
                </c:pt>
                <c:pt idx="1">
                  <c:v>Cemento</c:v>
                </c:pt>
                <c:pt idx="2">
                  <c:v>Energía</c:v>
                </c:pt>
                <c:pt idx="3">
                  <c:v>Carbón</c:v>
                </c:pt>
                <c:pt idx="4">
                  <c:v>Inmobiliario</c:v>
                </c:pt>
                <c:pt idx="5">
                  <c:v>Concesiones</c:v>
                </c:pt>
                <c:pt idx="6">
                  <c:v>Corporativos</c:v>
                </c:pt>
                <c:pt idx="7">
                  <c:v>Portafolio</c:v>
                </c:pt>
                <c:pt idx="8">
                  <c:v>Ingresos marzo 2017</c:v>
                </c:pt>
                <c:pt idx="9">
                  <c:v>Ppto marzo 2017</c:v>
                </c:pt>
              </c:strCache>
            </c:strRef>
          </c:cat>
          <c:val>
            <c:numRef>
              <c:f>INGRESOS!$D$6:$D$15</c:f>
              <c:numCache>
                <c:formatCode>_(* #,##0_);_(* \(#,##0\);_(* "-"??_);_(@_)</c:formatCode>
                <c:ptCount val="10"/>
                <c:pt idx="1">
                  <c:v>130092.40694199991</c:v>
                </c:pt>
                <c:pt idx="2">
                  <c:v>620278.72764499974</c:v>
                </c:pt>
                <c:pt idx="3">
                  <c:v>18802.025720000001</c:v>
                </c:pt>
                <c:pt idx="4">
                  <c:v>30062.241029000001</c:v>
                </c:pt>
                <c:pt idx="5">
                  <c:v>126859.05643299999</c:v>
                </c:pt>
                <c:pt idx="6">
                  <c:v>95928.216604999994</c:v>
                </c:pt>
                <c:pt idx="7">
                  <c:v>45268.946759355429</c:v>
                </c:pt>
              </c:numCache>
            </c:numRef>
          </c:val>
          <c:extLst>
            <c:ext xmlns:c16="http://schemas.microsoft.com/office/drawing/2014/chart" uri="{C3380CC4-5D6E-409C-BE32-E72D297353CC}">
              <c16:uniqueId val="{0000002B-E7A0-43CE-B2B0-77C2077E8096}"/>
            </c:ext>
          </c:extLst>
        </c:ser>
        <c:dLbls>
          <c:showLegendKey val="0"/>
          <c:showVal val="0"/>
          <c:showCatName val="0"/>
          <c:showSerName val="0"/>
          <c:showPercent val="0"/>
          <c:showBubbleSize val="0"/>
        </c:dLbls>
        <c:gapWidth val="140"/>
        <c:overlap val="100"/>
        <c:axId val="1060318624"/>
        <c:axId val="1060317840"/>
      </c:barChart>
      <c:catAx>
        <c:axId val="1060318624"/>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800" b="1" i="0" u="none" strike="noStrike" baseline="0">
                <a:solidFill>
                  <a:srgbClr val="000000"/>
                </a:solidFill>
                <a:latin typeface="Arial"/>
                <a:ea typeface="Arial"/>
                <a:cs typeface="Arial"/>
              </a:defRPr>
            </a:pPr>
            <a:endParaRPr lang="en-US"/>
          </a:p>
        </c:txPr>
        <c:crossAx val="1060317840"/>
        <c:crosses val="autoZero"/>
        <c:auto val="1"/>
        <c:lblAlgn val="ctr"/>
        <c:lblOffset val="100"/>
        <c:noMultiLvlLbl val="0"/>
      </c:catAx>
      <c:valAx>
        <c:axId val="1060317840"/>
        <c:scaling>
          <c:orientation val="minMax"/>
        </c:scaling>
        <c:delete val="0"/>
        <c:axPos val="l"/>
        <c:numFmt formatCode="_(* #,##0_);_(* \(#,##0\);_(* &quot;-&quot;??_);_(@_)" sourceLinked="1"/>
        <c:majorTickMark val="out"/>
        <c:minorTickMark val="none"/>
        <c:tickLblPos val="nextTo"/>
        <c:crossAx val="1060318624"/>
        <c:crosses val="autoZero"/>
        <c:crossBetween val="between"/>
      </c:valAx>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Lit>
              <c:ptCount val="6"/>
              <c:pt idx="0">
                <c:v>Ppto a dic. 2011</c:v>
              </c:pt>
              <c:pt idx="1">
                <c:v>Colombia</c:v>
              </c:pt>
              <c:pt idx="2">
                <c:v>EE.UU.</c:v>
              </c:pt>
              <c:pt idx="3">
                <c:v>Caribe</c:v>
              </c:pt>
              <c:pt idx="4">
                <c:v>Otros</c:v>
              </c:pt>
              <c:pt idx="5">
                <c:v>Real a dic. 2011</c:v>
              </c:pt>
            </c:strLit>
          </c:cat>
          <c:val>
            <c:numLit>
              <c:formatCode>General</c:formatCode>
              <c:ptCount val="6"/>
              <c:pt idx="0">
                <c:v>1670.7905559040601</c:v>
              </c:pt>
              <c:pt idx="1">
                <c:v>1670.7905559040601</c:v>
              </c:pt>
              <c:pt idx="2">
                <c:v>1695.566309976133</c:v>
              </c:pt>
              <c:pt idx="3">
                <c:v>1663.1205314935889</c:v>
              </c:pt>
              <c:pt idx="4">
                <c:v>1636.1470000000645</c:v>
              </c:pt>
              <c:pt idx="5">
                <c:v>1636.1470000000645</c:v>
              </c:pt>
            </c:numLit>
          </c:val>
          <c:extLst>
            <c:ext xmlns:c16="http://schemas.microsoft.com/office/drawing/2014/chart" uri="{C3380CC4-5D6E-409C-BE32-E72D297353CC}">
              <c16:uniqueId val="{00000000-2D3C-4FAB-9BDB-CBFBB13254F8}"/>
            </c:ext>
          </c:extLst>
        </c:ser>
        <c:ser>
          <c:idx val="1"/>
          <c:order val="1"/>
          <c:invertIfNegative val="0"/>
          <c:dLbls>
            <c:dLbl>
              <c:idx val="1"/>
              <c:tx>
                <c:rich>
                  <a:bodyPr/>
                  <a:lstStyle/>
                  <a:p>
                    <a:pPr>
                      <a:defRPr sz="1200" b="1" i="0" u="none" strike="noStrike" baseline="0">
                        <a:solidFill>
                          <a:srgbClr val="000000"/>
                        </a:solidFill>
                        <a:latin typeface="Arial"/>
                        <a:ea typeface="Arial"/>
                        <a:cs typeface="Arial"/>
                      </a:defRPr>
                    </a:pPr>
                    <a:r>
                      <a:rPr lang="es-ES"/>
                      <a:t>+ 53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2D3C-4FAB-9BDB-CBFBB13254F8}"/>
                </c:ext>
              </c:extLst>
            </c:dLbl>
            <c:dLbl>
              <c:idx val="2"/>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3C-4FAB-9BDB-CBFBB13254F8}"/>
                </c:ext>
              </c:extLst>
            </c:dLbl>
            <c:dLbl>
              <c:idx val="3"/>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3C-4FAB-9BDB-CBFBB13254F8}"/>
                </c:ext>
              </c:extLst>
            </c:dLbl>
            <c:dLbl>
              <c:idx val="4"/>
              <c:tx>
                <c:rich>
                  <a:bodyPr/>
                  <a:lstStyle/>
                  <a:p>
                    <a:pPr>
                      <a:defRPr sz="1200" b="1" i="0" u="none" strike="noStrike" baseline="0">
                        <a:solidFill>
                          <a:srgbClr val="000000"/>
                        </a:solidFill>
                        <a:latin typeface="Arial"/>
                        <a:ea typeface="Arial"/>
                        <a:cs typeface="Arial"/>
                      </a:defRPr>
                    </a:pPr>
                    <a:r>
                      <a:rPr lang="es-ES"/>
                      <a:t>- 27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2D3C-4FAB-9BDB-CBFBB13254F8}"/>
                </c:ext>
              </c:extLst>
            </c:dLbl>
            <c:numFmt formatCode="&quot;-&quot;\ #,##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Ppto a dic. 2011</c:v>
              </c:pt>
              <c:pt idx="1">
                <c:v>Colombia</c:v>
              </c:pt>
              <c:pt idx="2">
                <c:v>EE.UU.</c:v>
              </c:pt>
              <c:pt idx="3">
                <c:v>Caribe</c:v>
              </c:pt>
              <c:pt idx="4">
                <c:v>Otros</c:v>
              </c:pt>
              <c:pt idx="5">
                <c:v>Real a dic. 2011</c:v>
              </c:pt>
            </c:strLit>
          </c:cat>
          <c:val>
            <c:numLit>
              <c:formatCode>General</c:formatCode>
              <c:ptCount val="6"/>
              <c:pt idx="1">
                <c:v>52.83612692600002</c:v>
              </c:pt>
              <c:pt idx="2">
                <c:v>28.060372853927049</c:v>
              </c:pt>
              <c:pt idx="3">
                <c:v>32.445778482543972</c:v>
              </c:pt>
              <c:pt idx="4">
                <c:v>26.973531493524405</c:v>
              </c:pt>
            </c:numLit>
          </c:val>
          <c:extLst>
            <c:ext xmlns:c16="http://schemas.microsoft.com/office/drawing/2014/chart" uri="{C3380CC4-5D6E-409C-BE32-E72D297353CC}">
              <c16:uniqueId val="{00000005-2D3C-4FAB-9BDB-CBFBB13254F8}"/>
            </c:ext>
          </c:extLst>
        </c:ser>
        <c:dLbls>
          <c:showLegendKey val="0"/>
          <c:showVal val="0"/>
          <c:showCatName val="0"/>
          <c:showSerName val="0"/>
          <c:showPercent val="0"/>
          <c:showBubbleSize val="0"/>
        </c:dLbls>
        <c:gapWidth val="150"/>
        <c:overlap val="100"/>
        <c:axId val="1060318232"/>
        <c:axId val="1060319016"/>
      </c:barChart>
      <c:catAx>
        <c:axId val="1060318232"/>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1100" b="1" i="0" u="none" strike="noStrike" baseline="0">
                <a:solidFill>
                  <a:srgbClr val="000000"/>
                </a:solidFill>
                <a:latin typeface="Arial"/>
                <a:ea typeface="Arial"/>
                <a:cs typeface="Arial"/>
              </a:defRPr>
            </a:pPr>
            <a:endParaRPr lang="en-US"/>
          </a:p>
        </c:txPr>
        <c:crossAx val="1060319016"/>
        <c:crosses val="autoZero"/>
        <c:auto val="1"/>
        <c:lblAlgn val="ctr"/>
        <c:lblOffset val="100"/>
        <c:noMultiLvlLbl val="0"/>
      </c:catAx>
      <c:valAx>
        <c:axId val="1060319016"/>
        <c:scaling>
          <c:orientation val="minMax"/>
          <c:max val="1800"/>
          <c:min val="0"/>
        </c:scaling>
        <c:delete val="0"/>
        <c:axPos val="l"/>
        <c:numFmt formatCode="General" sourceLinked="1"/>
        <c:majorTickMark val="none"/>
        <c:minorTickMark val="none"/>
        <c:tickLblPos val="none"/>
        <c:spPr>
          <a:ln>
            <a:solidFill>
              <a:schemeClr val="bg1"/>
            </a:solidFill>
          </a:ln>
        </c:spPr>
        <c:crossAx val="1060318232"/>
        <c:crosses val="autoZero"/>
        <c:crossBetween val="between"/>
        <c:majorUnit val="10"/>
        <c:minorUnit val="3.6"/>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Lit>
              <c:ptCount val="6"/>
              <c:pt idx="0">
                <c:v>Ppto a dic. 2011</c:v>
              </c:pt>
              <c:pt idx="1">
                <c:v>Colombia</c:v>
              </c:pt>
              <c:pt idx="2">
                <c:v>EE.UU.</c:v>
              </c:pt>
              <c:pt idx="3">
                <c:v>Caribe</c:v>
              </c:pt>
              <c:pt idx="4">
                <c:v>Otros</c:v>
              </c:pt>
              <c:pt idx="5">
                <c:v>Real a dic. 2011</c:v>
              </c:pt>
            </c:strLit>
          </c:cat>
          <c:val>
            <c:numLit>
              <c:formatCode>General</c:formatCode>
              <c:ptCount val="6"/>
              <c:pt idx="0">
                <c:v>258.56819704383702</c:v>
              </c:pt>
              <c:pt idx="1">
                <c:v>258.56819704383702</c:v>
              </c:pt>
              <c:pt idx="2">
                <c:v>280.35849533998254</c:v>
              </c:pt>
              <c:pt idx="3">
                <c:v>280.35849533998254</c:v>
              </c:pt>
              <c:pt idx="4">
                <c:v>293.47761679224243</c:v>
              </c:pt>
              <c:pt idx="5">
                <c:v>295.27193766328725</c:v>
              </c:pt>
            </c:numLit>
          </c:val>
          <c:extLst>
            <c:ext xmlns:c16="http://schemas.microsoft.com/office/drawing/2014/chart" uri="{C3380CC4-5D6E-409C-BE32-E72D297353CC}">
              <c16:uniqueId val="{00000000-7305-42D6-AC99-44FF1FCAD549}"/>
            </c:ext>
          </c:extLst>
        </c:ser>
        <c:ser>
          <c:idx val="1"/>
          <c:order val="1"/>
          <c:invertIfNegative val="0"/>
          <c:dLbls>
            <c:dLbl>
              <c:idx val="1"/>
              <c:tx>
                <c:rich>
                  <a:bodyPr/>
                  <a:lstStyle/>
                  <a:p>
                    <a:pPr>
                      <a:defRPr sz="1200" b="1" i="0" u="none" strike="noStrike" baseline="0">
                        <a:solidFill>
                          <a:srgbClr val="000000"/>
                        </a:solidFill>
                        <a:latin typeface="Arial"/>
                        <a:ea typeface="Arial"/>
                        <a:cs typeface="Arial"/>
                      </a:defRPr>
                    </a:pPr>
                    <a:r>
                      <a:rPr lang="es-ES"/>
                      <a:t>+ 31</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305-42D6-AC99-44FF1FCAD549}"/>
                </c:ext>
              </c:extLst>
            </c:dLbl>
            <c:dLbl>
              <c:idx val="2"/>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05-42D6-AC99-44FF1FCAD549}"/>
                </c:ext>
              </c:extLst>
            </c:dLbl>
            <c:dLbl>
              <c:idx val="3"/>
              <c:tx>
                <c:rich>
                  <a:bodyPr/>
                  <a:lstStyle/>
                  <a:p>
                    <a:pPr>
                      <a:defRPr sz="1200" b="1" i="0" u="none" strike="noStrike" baseline="0">
                        <a:solidFill>
                          <a:srgbClr val="000000"/>
                        </a:solidFill>
                        <a:latin typeface="Arial"/>
                        <a:ea typeface="Arial"/>
                        <a:cs typeface="Arial"/>
                      </a:defRPr>
                    </a:pPr>
                    <a:r>
                      <a:rPr lang="es-ES"/>
                      <a:t>+ 13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305-42D6-AC99-44FF1FCAD549}"/>
                </c:ext>
              </c:extLst>
            </c:dLbl>
            <c:dLbl>
              <c:idx val="4"/>
              <c:tx>
                <c:rich>
                  <a:bodyPr/>
                  <a:lstStyle/>
                  <a:p>
                    <a:pPr>
                      <a:defRPr sz="1200" b="1" i="0" u="none" strike="noStrike" baseline="0">
                        <a:solidFill>
                          <a:srgbClr val="000000"/>
                        </a:solidFill>
                        <a:latin typeface="Arial"/>
                        <a:ea typeface="Arial"/>
                        <a:cs typeface="Arial"/>
                      </a:defRPr>
                    </a:pPr>
                    <a:r>
                      <a:rPr lang="es-ES"/>
                      <a:t>+ 2</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7305-42D6-AC99-44FF1FCAD549}"/>
                </c:ext>
              </c:extLst>
            </c:dLbl>
            <c:numFmt formatCode="&quot;-&quot;\ #,##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Ppto a dic. 2011</c:v>
              </c:pt>
              <c:pt idx="1">
                <c:v>Colombia</c:v>
              </c:pt>
              <c:pt idx="2">
                <c:v>EE.UU.</c:v>
              </c:pt>
              <c:pt idx="3">
                <c:v>Caribe</c:v>
              </c:pt>
              <c:pt idx="4">
                <c:v>Otros</c:v>
              </c:pt>
              <c:pt idx="5">
                <c:v>Real a dic. 2011</c:v>
              </c:pt>
            </c:strLit>
          </c:cat>
          <c:val>
            <c:numLit>
              <c:formatCode>General</c:formatCode>
              <c:ptCount val="6"/>
              <c:pt idx="1">
                <c:v>30.899603648679999</c:v>
              </c:pt>
              <c:pt idx="2">
                <c:v>9.1093053525344594</c:v>
              </c:pt>
              <c:pt idx="3">
                <c:v>13.11912145225989</c:v>
              </c:pt>
              <c:pt idx="4">
                <c:v>1.7943208710448033</c:v>
              </c:pt>
            </c:numLit>
          </c:val>
          <c:extLst>
            <c:ext xmlns:c16="http://schemas.microsoft.com/office/drawing/2014/chart" uri="{C3380CC4-5D6E-409C-BE32-E72D297353CC}">
              <c16:uniqueId val="{00000005-7305-42D6-AC99-44FF1FCAD549}"/>
            </c:ext>
          </c:extLst>
        </c:ser>
        <c:dLbls>
          <c:showLegendKey val="0"/>
          <c:showVal val="0"/>
          <c:showCatName val="0"/>
          <c:showSerName val="0"/>
          <c:showPercent val="0"/>
          <c:showBubbleSize val="0"/>
        </c:dLbls>
        <c:gapWidth val="150"/>
        <c:overlap val="100"/>
        <c:axId val="1060320192"/>
        <c:axId val="615874032"/>
      </c:barChart>
      <c:catAx>
        <c:axId val="1060320192"/>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1100" b="1" i="0" u="none" strike="noStrike" baseline="0">
                <a:solidFill>
                  <a:srgbClr val="000000"/>
                </a:solidFill>
                <a:latin typeface="Arial"/>
                <a:ea typeface="Arial"/>
                <a:cs typeface="Arial"/>
              </a:defRPr>
            </a:pPr>
            <a:endParaRPr lang="en-US"/>
          </a:p>
        </c:txPr>
        <c:crossAx val="615874032"/>
        <c:crosses val="autoZero"/>
        <c:auto val="1"/>
        <c:lblAlgn val="ctr"/>
        <c:lblOffset val="100"/>
        <c:noMultiLvlLbl val="0"/>
      </c:catAx>
      <c:valAx>
        <c:axId val="615874032"/>
        <c:scaling>
          <c:orientation val="minMax"/>
          <c:max val="340"/>
          <c:min val="0"/>
        </c:scaling>
        <c:delete val="0"/>
        <c:axPos val="l"/>
        <c:numFmt formatCode="General" sourceLinked="1"/>
        <c:majorTickMark val="none"/>
        <c:minorTickMark val="none"/>
        <c:tickLblPos val="none"/>
        <c:spPr>
          <a:ln>
            <a:solidFill>
              <a:schemeClr val="bg1"/>
            </a:solidFill>
          </a:ln>
        </c:spPr>
        <c:crossAx val="1060320192"/>
        <c:crosses val="autoZero"/>
        <c:crossBetween val="between"/>
        <c:majorUnit val="5"/>
        <c:minorUnit val="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77" l="0.70000000000000062" r="0.70000000000000062" t="0.75000000000000377"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15615291110197E-2"/>
          <c:y val="9.9378199076010545E-2"/>
          <c:w val="0.9205573935161"/>
          <c:h val="0.81065307059455094"/>
        </c:manualLayout>
      </c:layout>
      <c:barChart>
        <c:barDir val="col"/>
        <c:grouping val="stacked"/>
        <c:varyColors val="0"/>
        <c:ser>
          <c:idx val="0"/>
          <c:order val="0"/>
          <c:spPr>
            <a:solidFill>
              <a:srgbClr val="FFFFFF"/>
            </a:solidFill>
            <a:ln w="25400">
              <a:noFill/>
            </a:ln>
            <a:effectLst/>
            <a:scene3d>
              <a:camera prst="orthographicFront"/>
              <a:lightRig rig="threePt" dir="t"/>
            </a:scene3d>
            <a:sp3d prstMaterial="matte"/>
          </c:spPr>
          <c:invertIfNegative val="0"/>
          <c:dPt>
            <c:idx val="0"/>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01-6C27-4522-ADBE-9BEE2AF54E8E}"/>
              </c:ext>
            </c:extLst>
          </c:dPt>
          <c:dPt>
            <c:idx val="1"/>
            <c:invertIfNegative val="0"/>
            <c:bubble3D val="0"/>
            <c:spPr>
              <a:noFill/>
              <a:ln w="25400">
                <a:noFill/>
              </a:ln>
            </c:spPr>
            <c:extLst>
              <c:ext xmlns:c16="http://schemas.microsoft.com/office/drawing/2014/chart" uri="{C3380CC4-5D6E-409C-BE32-E72D297353CC}">
                <c16:uniqueId val="{00000003-6C27-4522-ADBE-9BEE2AF54E8E}"/>
              </c:ext>
            </c:extLst>
          </c:dPt>
          <c:dPt>
            <c:idx val="2"/>
            <c:invertIfNegative val="0"/>
            <c:bubble3D val="0"/>
            <c:spPr>
              <a:noFill/>
              <a:ln w="25400">
                <a:noFill/>
              </a:ln>
            </c:spPr>
            <c:extLst>
              <c:ext xmlns:c16="http://schemas.microsoft.com/office/drawing/2014/chart" uri="{C3380CC4-5D6E-409C-BE32-E72D297353CC}">
                <c16:uniqueId val="{00000005-6C27-4522-ADBE-9BEE2AF54E8E}"/>
              </c:ext>
            </c:extLst>
          </c:dPt>
          <c:dPt>
            <c:idx val="3"/>
            <c:invertIfNegative val="0"/>
            <c:bubble3D val="0"/>
            <c:spPr>
              <a:noFill/>
              <a:ln w="25400">
                <a:noFill/>
              </a:ln>
            </c:spPr>
            <c:extLst>
              <c:ext xmlns:c16="http://schemas.microsoft.com/office/drawing/2014/chart" uri="{C3380CC4-5D6E-409C-BE32-E72D297353CC}">
                <c16:uniqueId val="{00000007-6C27-4522-ADBE-9BEE2AF54E8E}"/>
              </c:ext>
            </c:extLst>
          </c:dPt>
          <c:dPt>
            <c:idx val="4"/>
            <c:invertIfNegative val="0"/>
            <c:bubble3D val="0"/>
            <c:spPr>
              <a:noFill/>
              <a:ln w="25400">
                <a:noFill/>
              </a:ln>
            </c:spPr>
            <c:extLst>
              <c:ext xmlns:c16="http://schemas.microsoft.com/office/drawing/2014/chart" uri="{C3380CC4-5D6E-409C-BE32-E72D297353CC}">
                <c16:uniqueId val="{00000009-6C27-4522-ADBE-9BEE2AF54E8E}"/>
              </c:ext>
            </c:extLst>
          </c:dPt>
          <c:dPt>
            <c:idx val="5"/>
            <c:invertIfNegative val="0"/>
            <c:bubble3D val="0"/>
            <c:spPr>
              <a:noFill/>
              <a:ln w="25400">
                <a:noFill/>
              </a:ln>
            </c:spPr>
            <c:extLst>
              <c:ext xmlns:c16="http://schemas.microsoft.com/office/drawing/2014/chart" uri="{C3380CC4-5D6E-409C-BE32-E72D297353CC}">
                <c16:uniqueId val="{0000000B-6C27-4522-ADBE-9BEE2AF54E8E}"/>
              </c:ext>
            </c:extLst>
          </c:dPt>
          <c:dPt>
            <c:idx val="6"/>
            <c:invertIfNegative val="0"/>
            <c:bubble3D val="0"/>
            <c:spPr>
              <a:noFill/>
              <a:ln w="25400">
                <a:noFill/>
              </a:ln>
            </c:spPr>
            <c:extLst>
              <c:ext xmlns:c16="http://schemas.microsoft.com/office/drawing/2014/chart" uri="{C3380CC4-5D6E-409C-BE32-E72D297353CC}">
                <c16:uniqueId val="{0000000D-6C27-4522-ADBE-9BEE2AF54E8E}"/>
              </c:ext>
            </c:extLst>
          </c:dPt>
          <c:dPt>
            <c:idx val="7"/>
            <c:invertIfNegative val="0"/>
            <c:bubble3D val="0"/>
            <c:spPr>
              <a:noFill/>
              <a:ln w="25400">
                <a:noFill/>
              </a:ln>
            </c:spPr>
            <c:extLst>
              <c:ext xmlns:c16="http://schemas.microsoft.com/office/drawing/2014/chart" uri="{C3380CC4-5D6E-409C-BE32-E72D297353CC}">
                <c16:uniqueId val="{0000000F-6C27-4522-ADBE-9BEE2AF54E8E}"/>
              </c:ext>
            </c:extLst>
          </c:dPt>
          <c:dPt>
            <c:idx val="8"/>
            <c:invertIfNegative val="0"/>
            <c:bubble3D val="0"/>
            <c:spPr>
              <a:solidFill>
                <a:schemeClr val="tx2">
                  <a:lumMod val="50000"/>
                </a:schemeClr>
              </a:solidFill>
              <a:ln w="25400">
                <a:noFill/>
              </a:ln>
            </c:spPr>
            <c:extLst>
              <c:ext xmlns:c16="http://schemas.microsoft.com/office/drawing/2014/chart" uri="{C3380CC4-5D6E-409C-BE32-E72D297353CC}">
                <c16:uniqueId val="{00000011-6C27-4522-ADBE-9BEE2AF54E8E}"/>
              </c:ext>
            </c:extLst>
          </c:dPt>
          <c:dPt>
            <c:idx val="9"/>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13-6C27-4522-ADBE-9BEE2AF54E8E}"/>
              </c:ext>
            </c:extLst>
          </c:dPt>
          <c:dPt>
            <c:idx val="10"/>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15-6C27-4522-ADBE-9BEE2AF54E8E}"/>
              </c:ext>
            </c:extLst>
          </c:dPt>
          <c:dPt>
            <c:idx val="11"/>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17-6C27-4522-ADBE-9BEE2AF54E8E}"/>
              </c:ext>
            </c:extLst>
          </c:dPt>
          <c:dLbls>
            <c:dLbl>
              <c:idx val="0"/>
              <c:layout>
                <c:manualLayout>
                  <c:x val="0"/>
                  <c:y val="-0.416880807254742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27-4522-ADBE-9BEE2AF54E8E}"/>
                </c:ext>
              </c:extLst>
            </c:dLbl>
            <c:dLbl>
              <c:idx val="8"/>
              <c:layout>
                <c:manualLayout>
                  <c:x val="-2.76321829690933E-3"/>
                  <c:y val="-0.403443994094780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C27-4522-ADBE-9BEE2AF54E8E}"/>
                </c:ext>
              </c:extLst>
            </c:dLbl>
            <c:dLbl>
              <c:idx val="9"/>
              <c:layout>
                <c:manualLayout>
                  <c:x val="-1.4342519732193119E-3"/>
                  <c:y val="-0.3516910278410076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C27-4522-ADBE-9BEE2AF54E8E}"/>
                </c:ext>
              </c:extLst>
            </c:dLbl>
            <c:spPr>
              <a:noFill/>
              <a:ln>
                <a:noFill/>
              </a:ln>
              <a:effectLst/>
            </c:spPr>
            <c:txPr>
              <a:bodyPr wrap="square" lIns="38100" tIns="19050" rIns="38100" bIns="19050" anchor="ctr">
                <a:spAutoFit/>
              </a:bodyPr>
              <a:lstStyle/>
              <a:p>
                <a:pPr>
                  <a:defRPr sz="1100" b="1">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'EBITDA '!$B$6:$B$15</c:f>
              <c:strCache>
                <c:ptCount val="10"/>
                <c:pt idx="0">
                  <c:v>EBITDA marzo 2016</c:v>
                </c:pt>
                <c:pt idx="1">
                  <c:v>Cemento</c:v>
                </c:pt>
                <c:pt idx="2">
                  <c:v>Energía</c:v>
                </c:pt>
                <c:pt idx="3">
                  <c:v>Carbón</c:v>
                </c:pt>
                <c:pt idx="4">
                  <c:v>Inmobiliario</c:v>
                </c:pt>
                <c:pt idx="5">
                  <c:v>Concesiones</c:v>
                </c:pt>
                <c:pt idx="6">
                  <c:v>Corporativos</c:v>
                </c:pt>
                <c:pt idx="7">
                  <c:v>Portafolio</c:v>
                </c:pt>
                <c:pt idx="8">
                  <c:v>EBITDA marzo 2017</c:v>
                </c:pt>
                <c:pt idx="9">
                  <c:v>Ppto marzo 2017</c:v>
                </c:pt>
              </c:strCache>
            </c:strRef>
          </c:cat>
          <c:val>
            <c:numRef>
              <c:f>'EBITDA '!$C$6:$C$15</c:f>
              <c:numCache>
                <c:formatCode>#,##0</c:formatCode>
                <c:ptCount val="10"/>
                <c:pt idx="0">
                  <c:v>948782.45979364519</c:v>
                </c:pt>
                <c:pt idx="1">
                  <c:v>797252.67539764522</c:v>
                </c:pt>
                <c:pt idx="2">
                  <c:v>806731.25274764514</c:v>
                </c:pt>
                <c:pt idx="3">
                  <c:v>816209.83009764506</c:v>
                </c:pt>
                <c:pt idx="4">
                  <c:v>787866.40777764504</c:v>
                </c:pt>
                <c:pt idx="5">
                  <c:v>821526.05038964504</c:v>
                </c:pt>
                <c:pt idx="6">
                  <c:v>869900.26562164514</c:v>
                </c:pt>
                <c:pt idx="7">
                  <c:v>870699.72051564511</c:v>
                </c:pt>
                <c:pt idx="8">
                  <c:v>854519.83163400029</c:v>
                </c:pt>
                <c:pt idx="9" formatCode="_ * #,##0_ ;_ * \-#,##0_ ;_ * &quot;-&quot;??_ ;_ @_ ">
                  <c:v>784644.17569244921</c:v>
                </c:pt>
              </c:numCache>
            </c:numRef>
          </c:val>
          <c:extLst>
            <c:ext xmlns:c16="http://schemas.microsoft.com/office/drawing/2014/chart" uri="{C3380CC4-5D6E-409C-BE32-E72D297353CC}">
              <c16:uniqueId val="{00000018-6C27-4522-ADBE-9BEE2AF54E8E}"/>
            </c:ext>
          </c:extLst>
        </c:ser>
        <c:ser>
          <c:idx val="1"/>
          <c:order val="1"/>
          <c:spPr>
            <a:solidFill>
              <a:srgbClr val="99CC00"/>
            </a:solidFill>
            <a:ln w="25400">
              <a:noFill/>
            </a:ln>
          </c:spPr>
          <c:invertIfNegative val="0"/>
          <c:dPt>
            <c:idx val="1"/>
            <c:invertIfNegative val="0"/>
            <c:bubble3D val="0"/>
            <c:spPr>
              <a:solidFill>
                <a:srgbClr val="6681A6"/>
              </a:solidFill>
              <a:ln w="25400">
                <a:noFill/>
              </a:ln>
            </c:spPr>
            <c:extLst>
              <c:ext xmlns:c16="http://schemas.microsoft.com/office/drawing/2014/chart" uri="{C3380CC4-5D6E-409C-BE32-E72D297353CC}">
                <c16:uniqueId val="{0000001A-6C27-4522-ADBE-9BEE2AF54E8E}"/>
              </c:ext>
            </c:extLst>
          </c:dPt>
          <c:dPt>
            <c:idx val="2"/>
            <c:invertIfNegative val="0"/>
            <c:bubble3D val="0"/>
            <c:spPr>
              <a:solidFill>
                <a:srgbClr val="99ABC3"/>
              </a:solidFill>
              <a:ln w="25400">
                <a:noFill/>
              </a:ln>
            </c:spPr>
            <c:extLst>
              <c:ext xmlns:c16="http://schemas.microsoft.com/office/drawing/2014/chart" uri="{C3380CC4-5D6E-409C-BE32-E72D297353CC}">
                <c16:uniqueId val="{0000001C-6C27-4522-ADBE-9BEE2AF54E8E}"/>
              </c:ext>
            </c:extLst>
          </c:dPt>
          <c:dPt>
            <c:idx val="3"/>
            <c:invertIfNegative val="0"/>
            <c:bubble3D val="0"/>
            <c:spPr>
              <a:solidFill>
                <a:srgbClr val="335788"/>
              </a:solidFill>
              <a:ln w="25400">
                <a:noFill/>
              </a:ln>
            </c:spPr>
            <c:extLst>
              <c:ext xmlns:c16="http://schemas.microsoft.com/office/drawing/2014/chart" uri="{C3380CC4-5D6E-409C-BE32-E72D297353CC}">
                <c16:uniqueId val="{0000001E-6C27-4522-ADBE-9BEE2AF54E8E}"/>
              </c:ext>
            </c:extLst>
          </c:dPt>
          <c:dPt>
            <c:idx val="4"/>
            <c:invertIfNegative val="0"/>
            <c:bubble3D val="0"/>
            <c:spPr>
              <a:solidFill>
                <a:srgbClr val="335788"/>
              </a:solidFill>
              <a:ln w="25400">
                <a:noFill/>
              </a:ln>
            </c:spPr>
            <c:extLst>
              <c:ext xmlns:c16="http://schemas.microsoft.com/office/drawing/2014/chart" uri="{C3380CC4-5D6E-409C-BE32-E72D297353CC}">
                <c16:uniqueId val="{00000020-6C27-4522-ADBE-9BEE2AF54E8E}"/>
              </c:ext>
            </c:extLst>
          </c:dPt>
          <c:dPt>
            <c:idx val="5"/>
            <c:invertIfNegative val="0"/>
            <c:bubble3D val="0"/>
            <c:spPr>
              <a:solidFill>
                <a:srgbClr val="B2C0D2"/>
              </a:solidFill>
              <a:ln w="25400">
                <a:noFill/>
              </a:ln>
            </c:spPr>
            <c:extLst>
              <c:ext xmlns:c16="http://schemas.microsoft.com/office/drawing/2014/chart" uri="{C3380CC4-5D6E-409C-BE32-E72D297353CC}">
                <c16:uniqueId val="{00000022-6C27-4522-ADBE-9BEE2AF54E8E}"/>
              </c:ext>
            </c:extLst>
          </c:dPt>
          <c:dPt>
            <c:idx val="6"/>
            <c:invertIfNegative val="0"/>
            <c:bubble3D val="0"/>
            <c:spPr>
              <a:solidFill>
                <a:srgbClr val="335788"/>
              </a:solidFill>
              <a:ln w="25400">
                <a:noFill/>
              </a:ln>
            </c:spPr>
            <c:extLst>
              <c:ext xmlns:c16="http://schemas.microsoft.com/office/drawing/2014/chart" uri="{C3380CC4-5D6E-409C-BE32-E72D297353CC}">
                <c16:uniqueId val="{00000024-6C27-4522-ADBE-9BEE2AF54E8E}"/>
              </c:ext>
            </c:extLst>
          </c:dPt>
          <c:dPt>
            <c:idx val="7"/>
            <c:invertIfNegative val="0"/>
            <c:bubble3D val="0"/>
            <c:spPr>
              <a:solidFill>
                <a:srgbClr val="6681A6"/>
              </a:solidFill>
              <a:ln w="25400">
                <a:noFill/>
              </a:ln>
            </c:spPr>
            <c:extLst>
              <c:ext xmlns:c16="http://schemas.microsoft.com/office/drawing/2014/chart" uri="{C3380CC4-5D6E-409C-BE32-E72D297353CC}">
                <c16:uniqueId val="{00000026-6C27-4522-ADBE-9BEE2AF54E8E}"/>
              </c:ext>
            </c:extLst>
          </c:dPt>
          <c:dPt>
            <c:idx val="8"/>
            <c:invertIfNegative val="0"/>
            <c:bubble3D val="0"/>
            <c:spPr>
              <a:solidFill>
                <a:srgbClr val="B2C0D2"/>
              </a:solidFill>
              <a:ln w="25400">
                <a:noFill/>
              </a:ln>
            </c:spPr>
            <c:extLst>
              <c:ext xmlns:c16="http://schemas.microsoft.com/office/drawing/2014/chart" uri="{C3380CC4-5D6E-409C-BE32-E72D297353CC}">
                <c16:uniqueId val="{00000028-6C27-4522-ADBE-9BEE2AF54E8E}"/>
              </c:ext>
            </c:extLst>
          </c:dPt>
          <c:dPt>
            <c:idx val="9"/>
            <c:invertIfNegative val="0"/>
            <c:bubble3D val="0"/>
            <c:spPr>
              <a:solidFill>
                <a:schemeClr val="tx2">
                  <a:lumMod val="40000"/>
                  <a:lumOff val="60000"/>
                </a:schemeClr>
              </a:solidFill>
              <a:ln w="25400">
                <a:noFill/>
              </a:ln>
            </c:spPr>
            <c:extLst>
              <c:ext xmlns:c16="http://schemas.microsoft.com/office/drawing/2014/chart" uri="{C3380CC4-5D6E-409C-BE32-E72D297353CC}">
                <c16:uniqueId val="{0000002A-6C27-4522-ADBE-9BEE2AF54E8E}"/>
              </c:ext>
            </c:extLst>
          </c:dPt>
          <c:dLbls>
            <c:dLbl>
              <c:idx val="1"/>
              <c:layout>
                <c:manualLayout>
                  <c:x val="-2.9756540223386407E-4"/>
                  <c:y val="8.7912301298445031E-2"/>
                </c:manualLayout>
              </c:layout>
              <c:spPr/>
              <c:txPr>
                <a:bodyPr/>
                <a:lstStyle/>
                <a:p>
                  <a:pPr>
                    <a:defRPr sz="11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C27-4522-ADBE-9BEE2AF54E8E}"/>
                </c:ext>
              </c:extLst>
            </c:dLbl>
            <c:dLbl>
              <c:idx val="2"/>
              <c:layout>
                <c:manualLayout>
                  <c:x val="4.4029912370818211E-4"/>
                  <c:y val="3.7510109250758226E-2"/>
                </c:manualLayout>
              </c:layout>
              <c:spPr/>
              <c:txPr>
                <a:bodyPr/>
                <a:lstStyle/>
                <a:p>
                  <a:pPr>
                    <a:defRPr sz="11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C27-4522-ADBE-9BEE2AF54E8E}"/>
                </c:ext>
              </c:extLst>
            </c:dLbl>
            <c:dLbl>
              <c:idx val="3"/>
              <c:layout>
                <c:manualLayout>
                  <c:x val="-1.1099045220902758E-7"/>
                  <c:y val="-3.5540215793470567E-2"/>
                </c:manualLayout>
              </c:layout>
              <c:spPr/>
              <c:txPr>
                <a:bodyPr/>
                <a:lstStyle/>
                <a:p>
                  <a:pPr>
                    <a:defRPr sz="11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C27-4522-ADBE-9BEE2AF54E8E}"/>
                </c:ext>
              </c:extLst>
            </c:dLbl>
            <c:dLbl>
              <c:idx val="4"/>
              <c:layout>
                <c:manualLayout>
                  <c:x val="-2.8203739413062349E-3"/>
                  <c:y val="4.4621358081820564E-2"/>
                </c:manualLayout>
              </c:layout>
              <c:spPr/>
              <c:txPr>
                <a:bodyPr/>
                <a:lstStyle/>
                <a:p>
                  <a:pPr>
                    <a:defRPr sz="11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C27-4522-ADBE-9BEE2AF54E8E}"/>
                </c:ext>
              </c:extLst>
            </c:dLbl>
            <c:dLbl>
              <c:idx val="5"/>
              <c:layout>
                <c:manualLayout>
                  <c:x val="-5.7971014492754682E-3"/>
                  <c:y val="-7.966617647971308E-2"/>
                </c:manualLayout>
              </c:layout>
              <c:spPr/>
              <c:txPr>
                <a:bodyPr/>
                <a:lstStyle/>
                <a:p>
                  <a:pPr>
                    <a:defRPr sz="11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C27-4522-ADBE-9BEE2AF54E8E}"/>
                </c:ext>
              </c:extLst>
            </c:dLbl>
            <c:dLbl>
              <c:idx val="6"/>
              <c:layout>
                <c:manualLayout>
                  <c:x val="1.8882709617262215E-3"/>
                  <c:y val="-3.7719177086267736E-2"/>
                </c:manualLayout>
              </c:layout>
              <c:spPr>
                <a:noFill/>
                <a:ln w="25400">
                  <a:noFill/>
                </a:ln>
                <a:effectLst/>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C27-4522-ADBE-9BEE2AF54E8E}"/>
                </c:ext>
              </c:extLst>
            </c:dLbl>
            <c:dLbl>
              <c:idx val="7"/>
              <c:layout>
                <c:manualLayout>
                  <c:x val="-3.9687965882423968E-3"/>
                  <c:y val="-5.6529670683776352E-2"/>
                </c:manualLayout>
              </c:layout>
              <c:spPr/>
              <c:txPr>
                <a:bodyPr/>
                <a:lstStyle/>
                <a:p>
                  <a:pPr>
                    <a:defRPr sz="11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C27-4522-ADBE-9BEE2AF54E8E}"/>
                </c:ext>
              </c:extLst>
            </c:dLbl>
            <c:dLbl>
              <c:idx val="8"/>
              <c:layout>
                <c:manualLayout>
                  <c:x val="1.5921292621651554E-6"/>
                  <c:y val="4.4630404463040445E-2"/>
                </c:manualLayout>
              </c:layout>
              <c:spPr/>
              <c:txPr>
                <a:bodyPr/>
                <a:lstStyle/>
                <a:p>
                  <a:pPr>
                    <a:defRPr sz="11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C27-4522-ADBE-9BEE2AF54E8E}"/>
                </c:ext>
              </c:extLst>
            </c:dLbl>
            <c:dLbl>
              <c:idx val="9"/>
              <c:layout>
                <c:manualLayout>
                  <c:x val="-1.1891332495124977E-3"/>
                  <c:y val="5.02092050209204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C27-4522-ADBE-9BEE2AF54E8E}"/>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'EBITDA '!$B$6:$B$15</c:f>
              <c:strCache>
                <c:ptCount val="10"/>
                <c:pt idx="0">
                  <c:v>EBITDA marzo 2016</c:v>
                </c:pt>
                <c:pt idx="1">
                  <c:v>Cemento</c:v>
                </c:pt>
                <c:pt idx="2">
                  <c:v>Energía</c:v>
                </c:pt>
                <c:pt idx="3">
                  <c:v>Carbón</c:v>
                </c:pt>
                <c:pt idx="4">
                  <c:v>Inmobiliario</c:v>
                </c:pt>
                <c:pt idx="5">
                  <c:v>Concesiones</c:v>
                </c:pt>
                <c:pt idx="6">
                  <c:v>Corporativos</c:v>
                </c:pt>
                <c:pt idx="7">
                  <c:v>Portafolio</c:v>
                </c:pt>
                <c:pt idx="8">
                  <c:v>EBITDA marzo 2017</c:v>
                </c:pt>
                <c:pt idx="9">
                  <c:v>Ppto marzo 2017</c:v>
                </c:pt>
              </c:strCache>
            </c:strRef>
          </c:cat>
          <c:val>
            <c:numRef>
              <c:f>'EBITDA '!$D$6:$D$15</c:f>
              <c:numCache>
                <c:formatCode>_(* #,##0_);_(* \(#,##0\);_(* "-"??_);_(@_)</c:formatCode>
                <c:ptCount val="10"/>
                <c:pt idx="1">
                  <c:v>151529.78439600003</c:v>
                </c:pt>
                <c:pt idx="2">
                  <c:v>9478.5773499999486</c:v>
                </c:pt>
                <c:pt idx="3">
                  <c:v>5316.220292</c:v>
                </c:pt>
                <c:pt idx="4">
                  <c:v>33659.642612000003</c:v>
                </c:pt>
                <c:pt idx="5">
                  <c:v>49173.670126000012</c:v>
                </c:pt>
                <c:pt idx="6">
                  <c:v>799.45489399998405</c:v>
                </c:pt>
                <c:pt idx="7">
                  <c:v>45118.030886354973</c:v>
                </c:pt>
              </c:numCache>
            </c:numRef>
          </c:val>
          <c:extLst>
            <c:ext xmlns:c16="http://schemas.microsoft.com/office/drawing/2014/chart" uri="{C3380CC4-5D6E-409C-BE32-E72D297353CC}">
              <c16:uniqueId val="{0000002B-6C27-4522-ADBE-9BEE2AF54E8E}"/>
            </c:ext>
          </c:extLst>
        </c:ser>
        <c:dLbls>
          <c:showLegendKey val="0"/>
          <c:showVal val="0"/>
          <c:showCatName val="0"/>
          <c:showSerName val="0"/>
          <c:showPercent val="0"/>
          <c:showBubbleSize val="0"/>
        </c:dLbls>
        <c:gapWidth val="150"/>
        <c:overlap val="100"/>
        <c:axId val="615871288"/>
        <c:axId val="615872072"/>
      </c:barChart>
      <c:catAx>
        <c:axId val="615871288"/>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800" b="1" i="0" u="none" strike="noStrike" baseline="0">
                <a:solidFill>
                  <a:srgbClr val="000000"/>
                </a:solidFill>
                <a:latin typeface="Arial"/>
                <a:ea typeface="Arial"/>
                <a:cs typeface="Arial"/>
              </a:defRPr>
            </a:pPr>
            <a:endParaRPr lang="en-US"/>
          </a:p>
        </c:txPr>
        <c:crossAx val="615872072"/>
        <c:crosses val="autoZero"/>
        <c:auto val="1"/>
        <c:lblAlgn val="ctr"/>
        <c:lblOffset val="100"/>
        <c:noMultiLvlLbl val="0"/>
      </c:catAx>
      <c:valAx>
        <c:axId val="615872072"/>
        <c:scaling>
          <c:orientation val="minMax"/>
        </c:scaling>
        <c:delete val="1"/>
        <c:axPos val="l"/>
        <c:numFmt formatCode="#,##0" sourceLinked="1"/>
        <c:majorTickMark val="out"/>
        <c:minorTickMark val="none"/>
        <c:tickLblPos val="nextTo"/>
        <c:crossAx val="615871288"/>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11" l="0.70000000000000062" r="0.70000000000000062" t="0.7500000000000031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Lit>
              <c:ptCount val="6"/>
              <c:pt idx="0">
                <c:v>Ppto a dic. 2011</c:v>
              </c:pt>
              <c:pt idx="1">
                <c:v>Colombia</c:v>
              </c:pt>
              <c:pt idx="2">
                <c:v>EE.UU.</c:v>
              </c:pt>
              <c:pt idx="3">
                <c:v>Caribe</c:v>
              </c:pt>
              <c:pt idx="4">
                <c:v>Otros</c:v>
              </c:pt>
              <c:pt idx="5">
                <c:v>Real a dic. 2011</c:v>
              </c:pt>
            </c:strLit>
          </c:cat>
          <c:val>
            <c:numLit>
              <c:formatCode>General</c:formatCode>
              <c:ptCount val="6"/>
              <c:pt idx="0">
                <c:v>1670.7905559040601</c:v>
              </c:pt>
              <c:pt idx="1">
                <c:v>1670.7905559040601</c:v>
              </c:pt>
              <c:pt idx="2">
                <c:v>1695.566309976133</c:v>
              </c:pt>
              <c:pt idx="3">
                <c:v>1663.1205314935889</c:v>
              </c:pt>
              <c:pt idx="4">
                <c:v>1636.1470000000645</c:v>
              </c:pt>
              <c:pt idx="5">
                <c:v>1636.1470000000645</c:v>
              </c:pt>
            </c:numLit>
          </c:val>
          <c:extLst>
            <c:ext xmlns:c16="http://schemas.microsoft.com/office/drawing/2014/chart" uri="{C3380CC4-5D6E-409C-BE32-E72D297353CC}">
              <c16:uniqueId val="{00000000-D5FD-4176-9F9F-6F9A295E45AA}"/>
            </c:ext>
          </c:extLst>
        </c:ser>
        <c:ser>
          <c:idx val="1"/>
          <c:order val="1"/>
          <c:invertIfNegative val="0"/>
          <c:dLbls>
            <c:dLbl>
              <c:idx val="1"/>
              <c:tx>
                <c:rich>
                  <a:bodyPr/>
                  <a:lstStyle/>
                  <a:p>
                    <a:pPr>
                      <a:defRPr sz="1200" b="1" i="0" u="none" strike="noStrike" baseline="0">
                        <a:solidFill>
                          <a:srgbClr val="000000"/>
                        </a:solidFill>
                        <a:latin typeface="Arial"/>
                        <a:ea typeface="Arial"/>
                        <a:cs typeface="Arial"/>
                      </a:defRPr>
                    </a:pPr>
                    <a:r>
                      <a:rPr lang="es-ES"/>
                      <a:t>+ 53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5FD-4176-9F9F-6F9A295E45AA}"/>
                </c:ext>
              </c:extLst>
            </c:dLbl>
            <c:dLbl>
              <c:idx val="2"/>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FD-4176-9F9F-6F9A295E45AA}"/>
                </c:ext>
              </c:extLst>
            </c:dLbl>
            <c:dLbl>
              <c:idx val="3"/>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FD-4176-9F9F-6F9A295E45AA}"/>
                </c:ext>
              </c:extLst>
            </c:dLbl>
            <c:dLbl>
              <c:idx val="4"/>
              <c:tx>
                <c:rich>
                  <a:bodyPr/>
                  <a:lstStyle/>
                  <a:p>
                    <a:pPr>
                      <a:defRPr sz="1200" b="1" i="0" u="none" strike="noStrike" baseline="0">
                        <a:solidFill>
                          <a:srgbClr val="000000"/>
                        </a:solidFill>
                        <a:latin typeface="Arial"/>
                        <a:ea typeface="Arial"/>
                        <a:cs typeface="Arial"/>
                      </a:defRPr>
                    </a:pPr>
                    <a:r>
                      <a:rPr lang="es-ES"/>
                      <a:t>- 27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D5FD-4176-9F9F-6F9A295E45AA}"/>
                </c:ext>
              </c:extLst>
            </c:dLbl>
            <c:numFmt formatCode="&quot;-&quot;\ #,##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Ppto a dic. 2011</c:v>
              </c:pt>
              <c:pt idx="1">
                <c:v>Colombia</c:v>
              </c:pt>
              <c:pt idx="2">
                <c:v>EE.UU.</c:v>
              </c:pt>
              <c:pt idx="3">
                <c:v>Caribe</c:v>
              </c:pt>
              <c:pt idx="4">
                <c:v>Otros</c:v>
              </c:pt>
              <c:pt idx="5">
                <c:v>Real a dic. 2011</c:v>
              </c:pt>
            </c:strLit>
          </c:cat>
          <c:val>
            <c:numLit>
              <c:formatCode>General</c:formatCode>
              <c:ptCount val="6"/>
              <c:pt idx="1">
                <c:v>52.83612692600002</c:v>
              </c:pt>
              <c:pt idx="2">
                <c:v>28.060372853927049</c:v>
              </c:pt>
              <c:pt idx="3">
                <c:v>32.445778482543972</c:v>
              </c:pt>
              <c:pt idx="4">
                <c:v>26.973531493524405</c:v>
              </c:pt>
            </c:numLit>
          </c:val>
          <c:extLst>
            <c:ext xmlns:c16="http://schemas.microsoft.com/office/drawing/2014/chart" uri="{C3380CC4-5D6E-409C-BE32-E72D297353CC}">
              <c16:uniqueId val="{00000005-D5FD-4176-9F9F-6F9A295E45AA}"/>
            </c:ext>
          </c:extLst>
        </c:ser>
        <c:dLbls>
          <c:showLegendKey val="0"/>
          <c:showVal val="0"/>
          <c:showCatName val="0"/>
          <c:showSerName val="0"/>
          <c:showPercent val="0"/>
          <c:showBubbleSize val="0"/>
        </c:dLbls>
        <c:gapWidth val="150"/>
        <c:overlap val="100"/>
        <c:axId val="615871680"/>
        <c:axId val="615872464"/>
      </c:barChart>
      <c:catAx>
        <c:axId val="615871680"/>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1100" b="1" i="0" u="none" strike="noStrike" baseline="0">
                <a:solidFill>
                  <a:srgbClr val="000000"/>
                </a:solidFill>
                <a:latin typeface="Arial"/>
                <a:ea typeface="Arial"/>
                <a:cs typeface="Arial"/>
              </a:defRPr>
            </a:pPr>
            <a:endParaRPr lang="en-US"/>
          </a:p>
        </c:txPr>
        <c:crossAx val="615872464"/>
        <c:crosses val="autoZero"/>
        <c:auto val="1"/>
        <c:lblAlgn val="ctr"/>
        <c:lblOffset val="100"/>
        <c:noMultiLvlLbl val="0"/>
      </c:catAx>
      <c:valAx>
        <c:axId val="615872464"/>
        <c:scaling>
          <c:orientation val="minMax"/>
          <c:max val="1800"/>
          <c:min val="0"/>
        </c:scaling>
        <c:delete val="0"/>
        <c:axPos val="l"/>
        <c:numFmt formatCode="General" sourceLinked="1"/>
        <c:majorTickMark val="none"/>
        <c:minorTickMark val="none"/>
        <c:tickLblPos val="none"/>
        <c:spPr>
          <a:ln>
            <a:solidFill>
              <a:schemeClr val="bg1"/>
            </a:solidFill>
          </a:ln>
        </c:spPr>
        <c:crossAx val="615871680"/>
        <c:crosses val="autoZero"/>
        <c:crossBetween val="between"/>
        <c:majorUnit val="10"/>
        <c:minorUnit val="3.6"/>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Lit>
              <c:ptCount val="6"/>
              <c:pt idx="0">
                <c:v>Ppto a dic. 2011</c:v>
              </c:pt>
              <c:pt idx="1">
                <c:v>Colombia</c:v>
              </c:pt>
              <c:pt idx="2">
                <c:v>EE.UU.</c:v>
              </c:pt>
              <c:pt idx="3">
                <c:v>Caribe</c:v>
              </c:pt>
              <c:pt idx="4">
                <c:v>Otros</c:v>
              </c:pt>
              <c:pt idx="5">
                <c:v>Real a dic. 2011</c:v>
              </c:pt>
            </c:strLit>
          </c:cat>
          <c:val>
            <c:numLit>
              <c:formatCode>General</c:formatCode>
              <c:ptCount val="6"/>
              <c:pt idx="0">
                <c:v>258.56819704383702</c:v>
              </c:pt>
              <c:pt idx="1">
                <c:v>258.56819704383702</c:v>
              </c:pt>
              <c:pt idx="2">
                <c:v>280.35849533998254</c:v>
              </c:pt>
              <c:pt idx="3">
                <c:v>280.35849533998254</c:v>
              </c:pt>
              <c:pt idx="4">
                <c:v>293.47761679224243</c:v>
              </c:pt>
              <c:pt idx="5">
                <c:v>295.27193766328725</c:v>
              </c:pt>
            </c:numLit>
          </c:val>
          <c:extLst>
            <c:ext xmlns:c16="http://schemas.microsoft.com/office/drawing/2014/chart" uri="{C3380CC4-5D6E-409C-BE32-E72D297353CC}">
              <c16:uniqueId val="{00000000-6125-40A9-8589-897E0E040339}"/>
            </c:ext>
          </c:extLst>
        </c:ser>
        <c:ser>
          <c:idx val="1"/>
          <c:order val="1"/>
          <c:invertIfNegative val="0"/>
          <c:dLbls>
            <c:dLbl>
              <c:idx val="1"/>
              <c:tx>
                <c:rich>
                  <a:bodyPr/>
                  <a:lstStyle/>
                  <a:p>
                    <a:pPr>
                      <a:defRPr sz="1200" b="1" i="0" u="none" strike="noStrike" baseline="0">
                        <a:solidFill>
                          <a:srgbClr val="000000"/>
                        </a:solidFill>
                        <a:latin typeface="Arial"/>
                        <a:ea typeface="Arial"/>
                        <a:cs typeface="Arial"/>
                      </a:defRPr>
                    </a:pPr>
                    <a:r>
                      <a:rPr lang="es-ES"/>
                      <a:t>+ 31</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6125-40A9-8589-897E0E040339}"/>
                </c:ext>
              </c:extLst>
            </c:dLbl>
            <c:dLbl>
              <c:idx val="2"/>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25-40A9-8589-897E0E040339}"/>
                </c:ext>
              </c:extLst>
            </c:dLbl>
            <c:dLbl>
              <c:idx val="3"/>
              <c:tx>
                <c:rich>
                  <a:bodyPr/>
                  <a:lstStyle/>
                  <a:p>
                    <a:pPr>
                      <a:defRPr sz="1200" b="1" i="0" u="none" strike="noStrike" baseline="0">
                        <a:solidFill>
                          <a:srgbClr val="000000"/>
                        </a:solidFill>
                        <a:latin typeface="Arial"/>
                        <a:ea typeface="Arial"/>
                        <a:cs typeface="Arial"/>
                      </a:defRPr>
                    </a:pPr>
                    <a:r>
                      <a:rPr lang="es-ES"/>
                      <a:t>+ 13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6125-40A9-8589-897E0E040339}"/>
                </c:ext>
              </c:extLst>
            </c:dLbl>
            <c:dLbl>
              <c:idx val="4"/>
              <c:tx>
                <c:rich>
                  <a:bodyPr/>
                  <a:lstStyle/>
                  <a:p>
                    <a:pPr>
                      <a:defRPr sz="1200" b="1" i="0" u="none" strike="noStrike" baseline="0">
                        <a:solidFill>
                          <a:srgbClr val="000000"/>
                        </a:solidFill>
                        <a:latin typeface="Arial"/>
                        <a:ea typeface="Arial"/>
                        <a:cs typeface="Arial"/>
                      </a:defRPr>
                    </a:pPr>
                    <a:r>
                      <a:rPr lang="es-ES"/>
                      <a:t>+ 2</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6125-40A9-8589-897E0E040339}"/>
                </c:ext>
              </c:extLst>
            </c:dLbl>
            <c:numFmt formatCode="&quot;-&quot;\ #,##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Ppto a dic. 2011</c:v>
              </c:pt>
              <c:pt idx="1">
                <c:v>Colombia</c:v>
              </c:pt>
              <c:pt idx="2">
                <c:v>EE.UU.</c:v>
              </c:pt>
              <c:pt idx="3">
                <c:v>Caribe</c:v>
              </c:pt>
              <c:pt idx="4">
                <c:v>Otros</c:v>
              </c:pt>
              <c:pt idx="5">
                <c:v>Real a dic. 2011</c:v>
              </c:pt>
            </c:strLit>
          </c:cat>
          <c:val>
            <c:numLit>
              <c:formatCode>General</c:formatCode>
              <c:ptCount val="6"/>
              <c:pt idx="1">
                <c:v>30.899603648679999</c:v>
              </c:pt>
              <c:pt idx="2">
                <c:v>9.1093053525344594</c:v>
              </c:pt>
              <c:pt idx="3">
                <c:v>13.11912145225989</c:v>
              </c:pt>
              <c:pt idx="4">
                <c:v>1.7943208710448033</c:v>
              </c:pt>
            </c:numLit>
          </c:val>
          <c:extLst>
            <c:ext xmlns:c16="http://schemas.microsoft.com/office/drawing/2014/chart" uri="{C3380CC4-5D6E-409C-BE32-E72D297353CC}">
              <c16:uniqueId val="{00000005-6125-40A9-8589-897E0E040339}"/>
            </c:ext>
          </c:extLst>
        </c:ser>
        <c:dLbls>
          <c:showLegendKey val="0"/>
          <c:showVal val="0"/>
          <c:showCatName val="0"/>
          <c:showSerName val="0"/>
          <c:showPercent val="0"/>
          <c:showBubbleSize val="0"/>
        </c:dLbls>
        <c:gapWidth val="150"/>
        <c:overlap val="100"/>
        <c:axId val="608449264"/>
        <c:axId val="608451224"/>
      </c:barChart>
      <c:catAx>
        <c:axId val="608449264"/>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1100" b="1" i="0" u="none" strike="noStrike" baseline="0">
                <a:solidFill>
                  <a:srgbClr val="000000"/>
                </a:solidFill>
                <a:latin typeface="Arial"/>
                <a:ea typeface="Arial"/>
                <a:cs typeface="Arial"/>
              </a:defRPr>
            </a:pPr>
            <a:endParaRPr lang="en-US"/>
          </a:p>
        </c:txPr>
        <c:crossAx val="608451224"/>
        <c:crosses val="autoZero"/>
        <c:auto val="1"/>
        <c:lblAlgn val="ctr"/>
        <c:lblOffset val="100"/>
        <c:noMultiLvlLbl val="0"/>
      </c:catAx>
      <c:valAx>
        <c:axId val="608451224"/>
        <c:scaling>
          <c:orientation val="minMax"/>
          <c:max val="340"/>
          <c:min val="0"/>
        </c:scaling>
        <c:delete val="0"/>
        <c:axPos val="l"/>
        <c:numFmt formatCode="General" sourceLinked="1"/>
        <c:majorTickMark val="none"/>
        <c:minorTickMark val="none"/>
        <c:tickLblPos val="none"/>
        <c:spPr>
          <a:ln>
            <a:solidFill>
              <a:schemeClr val="bg1"/>
            </a:solidFill>
          </a:ln>
        </c:spPr>
        <c:crossAx val="608449264"/>
        <c:crosses val="autoZero"/>
        <c:crossBetween val="between"/>
        <c:majorUnit val="5"/>
        <c:minorUnit val="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55" l="0.70000000000000062" r="0.70000000000000062" t="0.7500000000000035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224266448780407E-2"/>
          <c:y val="0.20562612746614375"/>
          <c:w val="0.9526572517432772"/>
          <c:h val="0.68876036694243625"/>
        </c:manualLayout>
      </c:layout>
      <c:barChart>
        <c:barDir val="col"/>
        <c:grouping val="stacked"/>
        <c:varyColors val="0"/>
        <c:ser>
          <c:idx val="0"/>
          <c:order val="0"/>
          <c:spPr>
            <a:solidFill>
              <a:srgbClr val="FFFFFF"/>
            </a:solidFill>
            <a:ln w="25400">
              <a:noFill/>
            </a:ln>
          </c:spPr>
          <c:invertIfNegative val="0"/>
          <c:dPt>
            <c:idx val="0"/>
            <c:invertIfNegative val="0"/>
            <c:bubble3D val="0"/>
            <c:spPr>
              <a:solidFill>
                <a:schemeClr val="tx2">
                  <a:lumMod val="50000"/>
                </a:schemeClr>
              </a:solidFill>
              <a:ln w="25400">
                <a:noFill/>
              </a:ln>
              <a:effectLst>
                <a:outerShdw blurRad="50800" dist="38100" dir="2700000" algn="tl" rotWithShape="0">
                  <a:prstClr val="black">
                    <a:alpha val="40000"/>
                  </a:prstClr>
                </a:outerShdw>
              </a:effectLst>
              <a:scene3d>
                <a:camera prst="orthographicFront"/>
                <a:lightRig rig="harsh" dir="t"/>
              </a:scene3d>
              <a:sp3d prstMaterial="plastic"/>
            </c:spPr>
            <c:extLst>
              <c:ext xmlns:c16="http://schemas.microsoft.com/office/drawing/2014/chart" uri="{C3380CC4-5D6E-409C-BE32-E72D297353CC}">
                <c16:uniqueId val="{00000001-D2CB-4354-A225-5B1DD018292F}"/>
              </c:ext>
            </c:extLst>
          </c:dPt>
          <c:dPt>
            <c:idx val="1"/>
            <c:invertIfNegative val="0"/>
            <c:bubble3D val="0"/>
            <c:spPr>
              <a:noFill/>
              <a:ln w="25400">
                <a:noFill/>
              </a:ln>
            </c:spPr>
            <c:extLst>
              <c:ext xmlns:c16="http://schemas.microsoft.com/office/drawing/2014/chart" uri="{C3380CC4-5D6E-409C-BE32-E72D297353CC}">
                <c16:uniqueId val="{00000003-D2CB-4354-A225-5B1DD018292F}"/>
              </c:ext>
            </c:extLst>
          </c:dPt>
          <c:dPt>
            <c:idx val="2"/>
            <c:invertIfNegative val="0"/>
            <c:bubble3D val="0"/>
            <c:spPr>
              <a:noFill/>
              <a:ln w="25400">
                <a:noFill/>
              </a:ln>
            </c:spPr>
            <c:extLst>
              <c:ext xmlns:c16="http://schemas.microsoft.com/office/drawing/2014/chart" uri="{C3380CC4-5D6E-409C-BE32-E72D297353CC}">
                <c16:uniqueId val="{00000005-D2CB-4354-A225-5B1DD018292F}"/>
              </c:ext>
            </c:extLst>
          </c:dPt>
          <c:dPt>
            <c:idx val="3"/>
            <c:invertIfNegative val="0"/>
            <c:bubble3D val="0"/>
            <c:spPr>
              <a:noFill/>
              <a:ln w="25400">
                <a:noFill/>
              </a:ln>
            </c:spPr>
            <c:extLst>
              <c:ext xmlns:c16="http://schemas.microsoft.com/office/drawing/2014/chart" uri="{C3380CC4-5D6E-409C-BE32-E72D297353CC}">
                <c16:uniqueId val="{00000007-D2CB-4354-A225-5B1DD018292F}"/>
              </c:ext>
            </c:extLst>
          </c:dPt>
          <c:dPt>
            <c:idx val="4"/>
            <c:invertIfNegative val="0"/>
            <c:bubble3D val="0"/>
            <c:spPr>
              <a:noFill/>
              <a:ln w="25400">
                <a:noFill/>
              </a:ln>
            </c:spPr>
            <c:extLst>
              <c:ext xmlns:c16="http://schemas.microsoft.com/office/drawing/2014/chart" uri="{C3380CC4-5D6E-409C-BE32-E72D297353CC}">
                <c16:uniqueId val="{00000009-D2CB-4354-A225-5B1DD018292F}"/>
              </c:ext>
            </c:extLst>
          </c:dPt>
          <c:dPt>
            <c:idx val="5"/>
            <c:invertIfNegative val="0"/>
            <c:bubble3D val="0"/>
            <c:spPr>
              <a:noFill/>
              <a:ln w="25400">
                <a:noFill/>
              </a:ln>
            </c:spPr>
            <c:extLst>
              <c:ext xmlns:c16="http://schemas.microsoft.com/office/drawing/2014/chart" uri="{C3380CC4-5D6E-409C-BE32-E72D297353CC}">
                <c16:uniqueId val="{0000000B-D2CB-4354-A225-5B1DD018292F}"/>
              </c:ext>
            </c:extLst>
          </c:dPt>
          <c:dPt>
            <c:idx val="6"/>
            <c:invertIfNegative val="0"/>
            <c:bubble3D val="0"/>
            <c:spPr>
              <a:noFill/>
              <a:ln w="25400">
                <a:noFill/>
              </a:ln>
            </c:spPr>
            <c:extLst>
              <c:ext xmlns:c16="http://schemas.microsoft.com/office/drawing/2014/chart" uri="{C3380CC4-5D6E-409C-BE32-E72D297353CC}">
                <c16:uniqueId val="{0000000D-D2CB-4354-A225-5B1DD018292F}"/>
              </c:ext>
            </c:extLst>
          </c:dPt>
          <c:dPt>
            <c:idx val="7"/>
            <c:invertIfNegative val="0"/>
            <c:bubble3D val="0"/>
            <c:spPr>
              <a:noFill/>
              <a:ln w="25400">
                <a:noFill/>
              </a:ln>
            </c:spPr>
            <c:extLst>
              <c:ext xmlns:c16="http://schemas.microsoft.com/office/drawing/2014/chart" uri="{C3380CC4-5D6E-409C-BE32-E72D297353CC}">
                <c16:uniqueId val="{0000000F-D2CB-4354-A225-5B1DD018292F}"/>
              </c:ext>
            </c:extLst>
          </c:dPt>
          <c:dPt>
            <c:idx val="8"/>
            <c:invertIfNegative val="0"/>
            <c:bubble3D val="0"/>
            <c:spPr>
              <a:solidFill>
                <a:schemeClr val="tx2">
                  <a:lumMod val="50000"/>
                </a:schemeClr>
              </a:solidFill>
              <a:ln w="25400">
                <a:noFill/>
              </a:ln>
            </c:spPr>
            <c:extLst>
              <c:ext xmlns:c16="http://schemas.microsoft.com/office/drawing/2014/chart" uri="{C3380CC4-5D6E-409C-BE32-E72D297353CC}">
                <c16:uniqueId val="{00000011-D2CB-4354-A225-5B1DD018292F}"/>
              </c:ext>
            </c:extLst>
          </c:dPt>
          <c:dPt>
            <c:idx val="9"/>
            <c:invertIfNegative val="0"/>
            <c:bubble3D val="0"/>
            <c:spPr>
              <a:solidFill>
                <a:schemeClr val="tx2">
                  <a:lumMod val="50000"/>
                </a:schemeClr>
              </a:solidFill>
              <a:ln w="25400">
                <a:noFill/>
              </a:ln>
            </c:spPr>
            <c:extLst>
              <c:ext xmlns:c16="http://schemas.microsoft.com/office/drawing/2014/chart" uri="{C3380CC4-5D6E-409C-BE32-E72D297353CC}">
                <c16:uniqueId val="{00000013-D2CB-4354-A225-5B1DD018292F}"/>
              </c:ext>
            </c:extLst>
          </c:dPt>
          <c:dPt>
            <c:idx val="10"/>
            <c:invertIfNegative val="0"/>
            <c:bubble3D val="0"/>
            <c:spPr>
              <a:solidFill>
                <a:schemeClr val="tx2">
                  <a:lumMod val="50000"/>
                </a:schemeClr>
              </a:solidFill>
              <a:ln w="25400">
                <a:noFill/>
              </a:ln>
            </c:spPr>
            <c:extLst>
              <c:ext xmlns:c16="http://schemas.microsoft.com/office/drawing/2014/chart" uri="{C3380CC4-5D6E-409C-BE32-E72D297353CC}">
                <c16:uniqueId val="{00000015-D2CB-4354-A225-5B1DD018292F}"/>
              </c:ext>
            </c:extLst>
          </c:dPt>
          <c:dPt>
            <c:idx val="11"/>
            <c:invertIfNegative val="0"/>
            <c:bubble3D val="0"/>
            <c:spPr>
              <a:solidFill>
                <a:schemeClr val="tx2">
                  <a:lumMod val="50000"/>
                </a:schemeClr>
              </a:solidFill>
              <a:ln w="25400">
                <a:noFill/>
              </a:ln>
            </c:spPr>
            <c:extLst>
              <c:ext xmlns:c16="http://schemas.microsoft.com/office/drawing/2014/chart" uri="{C3380CC4-5D6E-409C-BE32-E72D297353CC}">
                <c16:uniqueId val="{00000017-D2CB-4354-A225-5B1DD018292F}"/>
              </c:ext>
            </c:extLst>
          </c:dPt>
          <c:dLbls>
            <c:dLbl>
              <c:idx val="0"/>
              <c:layout>
                <c:manualLayout>
                  <c:x val="-1.2375471814862998E-3"/>
                  <c:y val="-0.18198588919126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CB-4354-A225-5B1DD018292F}"/>
                </c:ext>
              </c:extLst>
            </c:dLbl>
            <c:dLbl>
              <c:idx val="1"/>
              <c:delete val="1"/>
              <c:extLst>
                <c:ext xmlns:c15="http://schemas.microsoft.com/office/drawing/2012/chart" uri="{CE6537A1-D6FC-4f65-9D91-7224C49458BB}"/>
                <c:ext xmlns:c16="http://schemas.microsoft.com/office/drawing/2014/chart" uri="{C3380CC4-5D6E-409C-BE32-E72D297353CC}">
                  <c16:uniqueId val="{00000003-D2CB-4354-A225-5B1DD018292F}"/>
                </c:ext>
              </c:extLst>
            </c:dLbl>
            <c:dLbl>
              <c:idx val="2"/>
              <c:delete val="1"/>
              <c:extLst>
                <c:ext xmlns:c15="http://schemas.microsoft.com/office/drawing/2012/chart" uri="{CE6537A1-D6FC-4f65-9D91-7224C49458BB}"/>
                <c:ext xmlns:c16="http://schemas.microsoft.com/office/drawing/2014/chart" uri="{C3380CC4-5D6E-409C-BE32-E72D297353CC}">
                  <c16:uniqueId val="{00000005-D2CB-4354-A225-5B1DD018292F}"/>
                </c:ext>
              </c:extLst>
            </c:dLbl>
            <c:dLbl>
              <c:idx val="3"/>
              <c:delete val="1"/>
              <c:extLst>
                <c:ext xmlns:c15="http://schemas.microsoft.com/office/drawing/2012/chart" uri="{CE6537A1-D6FC-4f65-9D91-7224C49458BB}"/>
                <c:ext xmlns:c16="http://schemas.microsoft.com/office/drawing/2014/chart" uri="{C3380CC4-5D6E-409C-BE32-E72D297353CC}">
                  <c16:uniqueId val="{00000007-D2CB-4354-A225-5B1DD018292F}"/>
                </c:ext>
              </c:extLst>
            </c:dLbl>
            <c:dLbl>
              <c:idx val="4"/>
              <c:delete val="1"/>
              <c:extLst>
                <c:ext xmlns:c15="http://schemas.microsoft.com/office/drawing/2012/chart" uri="{CE6537A1-D6FC-4f65-9D91-7224C49458BB}"/>
                <c:ext xmlns:c16="http://schemas.microsoft.com/office/drawing/2014/chart" uri="{C3380CC4-5D6E-409C-BE32-E72D297353CC}">
                  <c16:uniqueId val="{00000009-D2CB-4354-A225-5B1DD018292F}"/>
                </c:ext>
              </c:extLst>
            </c:dLbl>
            <c:dLbl>
              <c:idx val="5"/>
              <c:delete val="1"/>
              <c:extLst>
                <c:ext xmlns:c15="http://schemas.microsoft.com/office/drawing/2012/chart" uri="{CE6537A1-D6FC-4f65-9D91-7224C49458BB}"/>
                <c:ext xmlns:c16="http://schemas.microsoft.com/office/drawing/2014/chart" uri="{C3380CC4-5D6E-409C-BE32-E72D297353CC}">
                  <c16:uniqueId val="{0000000B-D2CB-4354-A225-5B1DD018292F}"/>
                </c:ext>
              </c:extLst>
            </c:dLbl>
            <c:dLbl>
              <c:idx val="6"/>
              <c:delete val="1"/>
              <c:extLst>
                <c:ext xmlns:c15="http://schemas.microsoft.com/office/drawing/2012/chart" uri="{CE6537A1-D6FC-4f65-9D91-7224C49458BB}"/>
                <c:ext xmlns:c16="http://schemas.microsoft.com/office/drawing/2014/chart" uri="{C3380CC4-5D6E-409C-BE32-E72D297353CC}">
                  <c16:uniqueId val="{0000000D-D2CB-4354-A225-5B1DD018292F}"/>
                </c:ext>
              </c:extLst>
            </c:dLbl>
            <c:dLbl>
              <c:idx val="7"/>
              <c:delete val="1"/>
              <c:extLst>
                <c:ext xmlns:c15="http://schemas.microsoft.com/office/drawing/2012/chart" uri="{CE6537A1-D6FC-4f65-9D91-7224C49458BB}"/>
                <c:ext xmlns:c16="http://schemas.microsoft.com/office/drawing/2014/chart" uri="{C3380CC4-5D6E-409C-BE32-E72D297353CC}">
                  <c16:uniqueId val="{0000000F-D2CB-4354-A225-5B1DD018292F}"/>
                </c:ext>
              </c:extLst>
            </c:dLbl>
            <c:dLbl>
              <c:idx val="8"/>
              <c:layout>
                <c:manualLayout>
                  <c:x val="-1.1674781110377402E-3"/>
                  <c:y val="-0.194381030398263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CB-4354-A225-5B1DD018292F}"/>
                </c:ext>
              </c:extLst>
            </c:dLbl>
            <c:dLbl>
              <c:idx val="9"/>
              <c:layout>
                <c:manualLayout>
                  <c:x val="1.1918214421668709E-3"/>
                  <c:y val="-5.79415753226873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2CB-4354-A225-5B1DD018292F}"/>
                </c:ext>
              </c:extLst>
            </c:dLbl>
            <c:dLbl>
              <c:idx val="10"/>
              <c:layout>
                <c:manualLayout>
                  <c:x val="0"/>
                  <c:y val="-0.202729044834307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2CB-4354-A225-5B1DD018292F}"/>
                </c:ext>
              </c:extLst>
            </c:dLbl>
            <c:dLbl>
              <c:idx val="11"/>
              <c:layout>
                <c:manualLayout>
                  <c:x val="-3.396912196206376E-3"/>
                  <c:y val="-0.135152696556205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2CB-4354-A225-5B1DD018292F}"/>
                </c:ext>
              </c:extLst>
            </c:dLbl>
            <c:numFmt formatCode="#,##0" sourceLinked="0"/>
            <c:spPr>
              <a:noFill/>
              <a:ln>
                <a:noFill/>
              </a:ln>
              <a:effectLst/>
            </c:spPr>
            <c:txPr>
              <a:bodyPr wrap="square" lIns="38100" tIns="19050" rIns="38100" bIns="19050" anchor="ctr">
                <a:spAutoFit/>
              </a:bodyPr>
              <a:lstStyle/>
              <a:p>
                <a:pPr>
                  <a:defRPr sz="13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'UTILIDAD NETA'!$B$8:$B$17</c:f>
              <c:strCache>
                <c:ptCount val="10"/>
                <c:pt idx="0">
                  <c:v>Utilidad neta marzo 2016</c:v>
                </c:pt>
                <c:pt idx="1">
                  <c:v>Cemento</c:v>
                </c:pt>
                <c:pt idx="2">
                  <c:v>Energía</c:v>
                </c:pt>
                <c:pt idx="3">
                  <c:v>Carbón</c:v>
                </c:pt>
                <c:pt idx="4">
                  <c:v>Inmobiliario</c:v>
                </c:pt>
                <c:pt idx="5">
                  <c:v>Concesiones</c:v>
                </c:pt>
                <c:pt idx="6">
                  <c:v>Corporativos</c:v>
                </c:pt>
                <c:pt idx="7">
                  <c:v>Portafolio</c:v>
                </c:pt>
                <c:pt idx="8">
                  <c:v>Utilidad neta marzo 2017</c:v>
                </c:pt>
                <c:pt idx="9">
                  <c:v>Ppto marzo 2017</c:v>
                </c:pt>
              </c:strCache>
            </c:strRef>
          </c:cat>
          <c:val>
            <c:numRef>
              <c:f>'UTILIDAD NETA'!$C$8:$C$17</c:f>
              <c:numCache>
                <c:formatCode>#,##0</c:formatCode>
                <c:ptCount val="10"/>
                <c:pt idx="0" formatCode="_(* #,##0_);_(* \(#,##0\);_(* &quot;-&quot;??_);_(@_)">
                  <c:v>105928.67164474119</c:v>
                </c:pt>
                <c:pt idx="1">
                  <c:v>57623.864076536011</c:v>
                </c:pt>
                <c:pt idx="2">
                  <c:v>105928.67164474119</c:v>
                </c:pt>
                <c:pt idx="3">
                  <c:v>123066.70092943776</c:v>
                </c:pt>
                <c:pt idx="4">
                  <c:v>101939.15603234003</c:v>
                </c:pt>
                <c:pt idx="5">
                  <c:v>131330.09829634003</c:v>
                </c:pt>
                <c:pt idx="6">
                  <c:v>134578.17549493548</c:v>
                </c:pt>
                <c:pt idx="7">
                  <c:v>147325.61194052242</c:v>
                </c:pt>
                <c:pt idx="8" formatCode="_ * #,##0_ ;_ * \-#,##0_ ;_ * &quot;-&quot;??_ ;_ @_ ">
                  <c:v>120679.91816308572</c:v>
                </c:pt>
                <c:pt idx="9" formatCode="_ * #,##0_ ;_ * \-#,##0_ ;_ * &quot;-&quot;??_ ;_ @_ ">
                  <c:v>9553.4413309173578</c:v>
                </c:pt>
              </c:numCache>
            </c:numRef>
          </c:val>
          <c:extLst>
            <c:ext xmlns:c16="http://schemas.microsoft.com/office/drawing/2014/chart" uri="{C3380CC4-5D6E-409C-BE32-E72D297353CC}">
              <c16:uniqueId val="{00000018-D2CB-4354-A225-5B1DD018292F}"/>
            </c:ext>
          </c:extLst>
        </c:ser>
        <c:ser>
          <c:idx val="1"/>
          <c:order val="1"/>
          <c:spPr>
            <a:solidFill>
              <a:srgbClr val="99CC00"/>
            </a:solidFill>
            <a:ln w="25400">
              <a:noFill/>
            </a:ln>
          </c:spPr>
          <c:invertIfNegative val="0"/>
          <c:dPt>
            <c:idx val="1"/>
            <c:invertIfNegative val="0"/>
            <c:bubble3D val="0"/>
            <c:spPr>
              <a:solidFill>
                <a:srgbClr val="6681A6"/>
              </a:solidFill>
              <a:ln w="25400">
                <a:noFill/>
              </a:ln>
            </c:spPr>
            <c:extLst>
              <c:ext xmlns:c16="http://schemas.microsoft.com/office/drawing/2014/chart" uri="{C3380CC4-5D6E-409C-BE32-E72D297353CC}">
                <c16:uniqueId val="{0000001A-D2CB-4354-A225-5B1DD018292F}"/>
              </c:ext>
            </c:extLst>
          </c:dPt>
          <c:dPt>
            <c:idx val="2"/>
            <c:invertIfNegative val="0"/>
            <c:bubble3D val="0"/>
            <c:spPr>
              <a:solidFill>
                <a:srgbClr val="99ABC3"/>
              </a:solidFill>
              <a:ln w="25400">
                <a:noFill/>
              </a:ln>
            </c:spPr>
            <c:extLst>
              <c:ext xmlns:c16="http://schemas.microsoft.com/office/drawing/2014/chart" uri="{C3380CC4-5D6E-409C-BE32-E72D297353CC}">
                <c16:uniqueId val="{0000001C-D2CB-4354-A225-5B1DD018292F}"/>
              </c:ext>
            </c:extLst>
          </c:dPt>
          <c:dPt>
            <c:idx val="3"/>
            <c:invertIfNegative val="0"/>
            <c:bubble3D val="0"/>
            <c:spPr>
              <a:solidFill>
                <a:srgbClr val="B2C0D2"/>
              </a:solidFill>
              <a:ln w="25400">
                <a:noFill/>
              </a:ln>
            </c:spPr>
            <c:extLst>
              <c:ext xmlns:c16="http://schemas.microsoft.com/office/drawing/2014/chart" uri="{C3380CC4-5D6E-409C-BE32-E72D297353CC}">
                <c16:uniqueId val="{0000001E-D2CB-4354-A225-5B1DD018292F}"/>
              </c:ext>
            </c:extLst>
          </c:dPt>
          <c:dPt>
            <c:idx val="4"/>
            <c:invertIfNegative val="0"/>
            <c:bubble3D val="0"/>
            <c:spPr>
              <a:solidFill>
                <a:srgbClr val="335788"/>
              </a:solidFill>
              <a:ln w="25400">
                <a:noFill/>
              </a:ln>
            </c:spPr>
            <c:extLst>
              <c:ext xmlns:c16="http://schemas.microsoft.com/office/drawing/2014/chart" uri="{C3380CC4-5D6E-409C-BE32-E72D297353CC}">
                <c16:uniqueId val="{00000020-D2CB-4354-A225-5B1DD018292F}"/>
              </c:ext>
            </c:extLst>
          </c:dPt>
          <c:dPt>
            <c:idx val="5"/>
            <c:invertIfNegative val="0"/>
            <c:bubble3D val="0"/>
            <c:spPr>
              <a:solidFill>
                <a:srgbClr val="6681A6"/>
              </a:solidFill>
              <a:ln w="25400">
                <a:noFill/>
              </a:ln>
            </c:spPr>
            <c:extLst>
              <c:ext xmlns:c16="http://schemas.microsoft.com/office/drawing/2014/chart" uri="{C3380CC4-5D6E-409C-BE32-E72D297353CC}">
                <c16:uniqueId val="{00000022-D2CB-4354-A225-5B1DD018292F}"/>
              </c:ext>
            </c:extLst>
          </c:dPt>
          <c:dPt>
            <c:idx val="6"/>
            <c:invertIfNegative val="0"/>
            <c:bubble3D val="0"/>
            <c:spPr>
              <a:solidFill>
                <a:srgbClr val="335788"/>
              </a:solidFill>
              <a:ln w="25400">
                <a:noFill/>
              </a:ln>
            </c:spPr>
            <c:extLst>
              <c:ext xmlns:c16="http://schemas.microsoft.com/office/drawing/2014/chart" uri="{C3380CC4-5D6E-409C-BE32-E72D297353CC}">
                <c16:uniqueId val="{00000024-D2CB-4354-A225-5B1DD018292F}"/>
              </c:ext>
            </c:extLst>
          </c:dPt>
          <c:dPt>
            <c:idx val="7"/>
            <c:invertIfNegative val="0"/>
            <c:bubble3D val="0"/>
            <c:spPr>
              <a:solidFill>
                <a:srgbClr val="6681A6"/>
              </a:solidFill>
              <a:ln w="25400">
                <a:noFill/>
              </a:ln>
            </c:spPr>
            <c:extLst>
              <c:ext xmlns:c16="http://schemas.microsoft.com/office/drawing/2014/chart" uri="{C3380CC4-5D6E-409C-BE32-E72D297353CC}">
                <c16:uniqueId val="{00000026-D2CB-4354-A225-5B1DD018292F}"/>
              </c:ext>
            </c:extLst>
          </c:dPt>
          <c:dPt>
            <c:idx val="8"/>
            <c:invertIfNegative val="0"/>
            <c:bubble3D val="0"/>
            <c:spPr>
              <a:solidFill>
                <a:srgbClr val="B2C0D2"/>
              </a:solidFill>
              <a:ln w="25400">
                <a:noFill/>
              </a:ln>
            </c:spPr>
            <c:extLst>
              <c:ext xmlns:c16="http://schemas.microsoft.com/office/drawing/2014/chart" uri="{C3380CC4-5D6E-409C-BE32-E72D297353CC}">
                <c16:uniqueId val="{00000028-D2CB-4354-A225-5B1DD018292F}"/>
              </c:ext>
            </c:extLst>
          </c:dPt>
          <c:dPt>
            <c:idx val="9"/>
            <c:invertIfNegative val="0"/>
            <c:bubble3D val="0"/>
            <c:spPr>
              <a:solidFill>
                <a:schemeClr val="tx2">
                  <a:lumMod val="40000"/>
                  <a:lumOff val="60000"/>
                </a:schemeClr>
              </a:solidFill>
              <a:ln w="25400">
                <a:noFill/>
              </a:ln>
            </c:spPr>
            <c:extLst>
              <c:ext xmlns:c16="http://schemas.microsoft.com/office/drawing/2014/chart" uri="{C3380CC4-5D6E-409C-BE32-E72D297353CC}">
                <c16:uniqueId val="{0000002A-D2CB-4354-A225-5B1DD018292F}"/>
              </c:ext>
            </c:extLst>
          </c:dPt>
          <c:dLbls>
            <c:dLbl>
              <c:idx val="1"/>
              <c:layout>
                <c:manualLayout>
                  <c:x val="-1.1325018380498985E-3"/>
                  <c:y val="8.7085558996814846E-2"/>
                </c:manualLayout>
              </c:layout>
              <c:numFmt formatCode="#,##0" sourceLinked="0"/>
              <c:spPr/>
              <c:txPr>
                <a:bodyPr/>
                <a:lstStyle/>
                <a:p>
                  <a:pPr>
                    <a:defRPr sz="13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2CB-4354-A225-5B1DD018292F}"/>
                </c:ext>
              </c:extLst>
            </c:dLbl>
            <c:dLbl>
              <c:idx val="2"/>
              <c:layout>
                <c:manualLayout>
                  <c:x val="5.8403959047103847E-5"/>
                  <c:y val="-5.7685504868993868E-2"/>
                </c:manualLayout>
              </c:layout>
              <c:numFmt formatCode="#,##0" sourceLinked="0"/>
              <c:spPr/>
              <c:txPr>
                <a:bodyPr/>
                <a:lstStyle/>
                <a:p>
                  <a:pPr>
                    <a:defRPr sz="13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2CB-4354-A225-5B1DD018292F}"/>
                </c:ext>
              </c:extLst>
            </c:dLbl>
            <c:dLbl>
              <c:idx val="3"/>
              <c:layout>
                <c:manualLayout>
                  <c:x val="0"/>
                  <c:y val="-3.3848411977355379E-2"/>
                </c:manualLayout>
              </c:layout>
              <c:numFmt formatCode="#,##0" sourceLinked="0"/>
              <c:spPr/>
              <c:txPr>
                <a:bodyPr/>
                <a:lstStyle/>
                <a:p>
                  <a:pPr>
                    <a:defRPr sz="13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2CB-4354-A225-5B1DD018292F}"/>
                </c:ext>
              </c:extLst>
            </c:dLbl>
            <c:dLbl>
              <c:idx val="4"/>
              <c:layout>
                <c:manualLayout>
                  <c:x val="0"/>
                  <c:y val="7.3423303527109657E-2"/>
                </c:manualLayout>
              </c:layout>
              <c:numFmt formatCode="#,##0" sourceLinked="0"/>
              <c:spPr/>
              <c:txPr>
                <a:bodyPr/>
                <a:lstStyle/>
                <a:p>
                  <a:pPr>
                    <a:defRPr sz="13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2CB-4354-A225-5B1DD018292F}"/>
                </c:ext>
              </c:extLst>
            </c:dLbl>
            <c:dLbl>
              <c:idx val="5"/>
              <c:layout>
                <c:manualLayout>
                  <c:x val="2.6493157820921239E-3"/>
                  <c:y val="-6.3622643532464593E-2"/>
                </c:manualLayout>
              </c:layout>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2CB-4354-A225-5B1DD018292F}"/>
                </c:ext>
              </c:extLst>
            </c:dLbl>
            <c:dLbl>
              <c:idx val="6"/>
              <c:layout>
                <c:manualLayout>
                  <c:x val="0"/>
                  <c:y val="6.0535786302809612E-2"/>
                </c:manualLayout>
              </c:layout>
              <c:numFmt formatCode="#,##0" sourceLinked="0"/>
              <c:spPr>
                <a:noFill/>
                <a:ln>
                  <a:noFill/>
                </a:ln>
                <a:effectLst/>
              </c:spPr>
              <c:txPr>
                <a:bodyPr wrap="square" lIns="38100" tIns="19050" rIns="38100" bIns="19050" anchor="ctr">
                  <a:spAutoFit/>
                </a:bodyPr>
                <a:lstStyle/>
                <a:p>
                  <a:pPr>
                    <a:defRPr sz="13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2CB-4354-A225-5B1DD018292F}"/>
                </c:ext>
              </c:extLst>
            </c:dLbl>
            <c:dLbl>
              <c:idx val="7"/>
              <c:layout>
                <c:manualLayout>
                  <c:x val="-2.2204524052814941E-3"/>
                  <c:y val="-0.11761167697514391"/>
                </c:manualLayout>
              </c:layout>
              <c:numFmt formatCode="#,##0" sourceLinked="0"/>
              <c:spPr/>
              <c:txPr>
                <a:bodyPr/>
                <a:lstStyle/>
                <a:p>
                  <a:pPr>
                    <a:defRPr sz="13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D2CB-4354-A225-5B1DD018292F}"/>
                </c:ext>
              </c:extLst>
            </c:dLbl>
            <c:dLbl>
              <c:idx val="8"/>
              <c:layout>
                <c:manualLayout>
                  <c:x val="7.1309395592871465E-7"/>
                  <c:y val="3.8986354775828458E-2"/>
                </c:manualLayout>
              </c:layout>
              <c:numFmt formatCode="#,##0" sourceLinked="0"/>
              <c:spPr/>
              <c:txPr>
                <a:bodyPr/>
                <a:lstStyle/>
                <a:p>
                  <a:pPr>
                    <a:defRPr sz="13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D2CB-4354-A225-5B1DD018292F}"/>
                </c:ext>
              </c:extLst>
            </c:dLbl>
            <c:dLbl>
              <c:idx val="9"/>
              <c:layout>
                <c:manualLayout>
                  <c:x val="0"/>
                  <c:y val="8.0571799870045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D2CB-4354-A225-5B1DD018292F}"/>
                </c:ext>
              </c:extLst>
            </c:dLbl>
            <c:numFmt formatCode="#,##0" sourceLinked="0"/>
            <c:spPr>
              <a:noFill/>
              <a:ln w="25400">
                <a:noFill/>
              </a:ln>
            </c:spPr>
            <c:txPr>
              <a:bodyPr wrap="square" lIns="38100" tIns="19050" rIns="38100" bIns="19050" anchor="ctr">
                <a:spAutoFit/>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'UTILIDAD NETA'!$B$8:$B$17</c:f>
              <c:strCache>
                <c:ptCount val="10"/>
                <c:pt idx="0">
                  <c:v>Utilidad neta marzo 2016</c:v>
                </c:pt>
                <c:pt idx="1">
                  <c:v>Cemento</c:v>
                </c:pt>
                <c:pt idx="2">
                  <c:v>Energía</c:v>
                </c:pt>
                <c:pt idx="3">
                  <c:v>Carbón</c:v>
                </c:pt>
                <c:pt idx="4">
                  <c:v>Inmobiliario</c:v>
                </c:pt>
                <c:pt idx="5">
                  <c:v>Concesiones</c:v>
                </c:pt>
                <c:pt idx="6">
                  <c:v>Corporativos</c:v>
                </c:pt>
                <c:pt idx="7">
                  <c:v>Portafolio</c:v>
                </c:pt>
                <c:pt idx="8">
                  <c:v>Utilidad neta marzo 2017</c:v>
                </c:pt>
                <c:pt idx="9">
                  <c:v>Ppto marzo 2017</c:v>
                </c:pt>
              </c:strCache>
            </c:strRef>
          </c:cat>
          <c:val>
            <c:numRef>
              <c:f>'UTILIDAD NETA'!$D$8:$D$17</c:f>
              <c:numCache>
                <c:formatCode>_(* #,##0_);_(* \(#,##0\);_(* "-"??_);_(@_)</c:formatCode>
                <c:ptCount val="10"/>
                <c:pt idx="1">
                  <c:v>48304.807568205179</c:v>
                </c:pt>
                <c:pt idx="2">
                  <c:v>17138.029284696582</c:v>
                </c:pt>
                <c:pt idx="3">
                  <c:v>8263.3973669022726</c:v>
                </c:pt>
                <c:pt idx="4">
                  <c:v>29390.942264000001</c:v>
                </c:pt>
                <c:pt idx="5">
                  <c:v>15995.513644182389</c:v>
                </c:pt>
                <c:pt idx="6">
                  <c:v>12747.436445586936</c:v>
                </c:pt>
                <c:pt idx="7">
                  <c:v>63797.492500355409</c:v>
                </c:pt>
              </c:numCache>
            </c:numRef>
          </c:val>
          <c:extLst>
            <c:ext xmlns:c16="http://schemas.microsoft.com/office/drawing/2014/chart" uri="{C3380CC4-5D6E-409C-BE32-E72D297353CC}">
              <c16:uniqueId val="{0000002B-D2CB-4354-A225-5B1DD018292F}"/>
            </c:ext>
          </c:extLst>
        </c:ser>
        <c:dLbls>
          <c:showLegendKey val="0"/>
          <c:showVal val="0"/>
          <c:showCatName val="0"/>
          <c:showSerName val="0"/>
          <c:showPercent val="0"/>
          <c:showBubbleSize val="0"/>
        </c:dLbls>
        <c:gapWidth val="150"/>
        <c:overlap val="100"/>
        <c:axId val="608452792"/>
        <c:axId val="608452008"/>
      </c:barChart>
      <c:catAx>
        <c:axId val="608452792"/>
        <c:scaling>
          <c:orientation val="minMax"/>
        </c:scaling>
        <c:delete val="0"/>
        <c:axPos val="b"/>
        <c:numFmt formatCode="General" sourceLinked="1"/>
        <c:majorTickMark val="out"/>
        <c:minorTickMark val="none"/>
        <c:tickLblPos val="low"/>
        <c:spPr>
          <a:ln w="19050">
            <a:solidFill>
              <a:schemeClr val="bg1">
                <a:lumMod val="65000"/>
              </a:schemeClr>
            </a:solidFill>
          </a:ln>
        </c:spPr>
        <c:txPr>
          <a:bodyPr rot="0" vert="horz"/>
          <a:lstStyle/>
          <a:p>
            <a:pPr>
              <a:defRPr sz="800" b="1" i="0" u="none" strike="noStrike" baseline="0">
                <a:solidFill>
                  <a:srgbClr val="000000"/>
                </a:solidFill>
                <a:latin typeface="Arial"/>
                <a:ea typeface="Arial"/>
                <a:cs typeface="Arial"/>
              </a:defRPr>
            </a:pPr>
            <a:endParaRPr lang="en-US"/>
          </a:p>
        </c:txPr>
        <c:crossAx val="608452008"/>
        <c:crosses val="autoZero"/>
        <c:auto val="1"/>
        <c:lblAlgn val="ctr"/>
        <c:lblOffset val="0"/>
        <c:noMultiLvlLbl val="0"/>
      </c:catAx>
      <c:valAx>
        <c:axId val="608452008"/>
        <c:scaling>
          <c:orientation val="minMax"/>
        </c:scaling>
        <c:delete val="1"/>
        <c:axPos val="l"/>
        <c:numFmt formatCode="_(* #,##0_);_(* \(#,##0\);_(* &quot;-&quot;??_);_(@_)" sourceLinked="1"/>
        <c:majorTickMark val="out"/>
        <c:minorTickMark val="none"/>
        <c:tickLblPos val="nextTo"/>
        <c:crossAx val="608452792"/>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55" l="0.70000000000000062" r="0.70000000000000062" t="0.7500000000000035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Lit>
              <c:ptCount val="6"/>
              <c:pt idx="0">
                <c:v>Ppto a dic. 2011</c:v>
              </c:pt>
              <c:pt idx="1">
                <c:v>Colombia</c:v>
              </c:pt>
              <c:pt idx="2">
                <c:v>EE.UU.</c:v>
              </c:pt>
              <c:pt idx="3">
                <c:v>Caribe</c:v>
              </c:pt>
              <c:pt idx="4">
                <c:v>Otros</c:v>
              </c:pt>
              <c:pt idx="5">
                <c:v>Real a dic. 2011</c:v>
              </c:pt>
            </c:strLit>
          </c:cat>
          <c:val>
            <c:numLit>
              <c:formatCode>General</c:formatCode>
              <c:ptCount val="6"/>
              <c:pt idx="0">
                <c:v>1670.7905559040601</c:v>
              </c:pt>
              <c:pt idx="1">
                <c:v>1670.7905559040601</c:v>
              </c:pt>
              <c:pt idx="2">
                <c:v>1695.566309976133</c:v>
              </c:pt>
              <c:pt idx="3">
                <c:v>1663.1205314935889</c:v>
              </c:pt>
              <c:pt idx="4">
                <c:v>1636.1470000000645</c:v>
              </c:pt>
              <c:pt idx="5">
                <c:v>1636.1470000000645</c:v>
              </c:pt>
            </c:numLit>
          </c:val>
          <c:extLst>
            <c:ext xmlns:c16="http://schemas.microsoft.com/office/drawing/2014/chart" uri="{C3380CC4-5D6E-409C-BE32-E72D297353CC}">
              <c16:uniqueId val="{00000000-7601-4262-939A-15AD609BDEC4}"/>
            </c:ext>
          </c:extLst>
        </c:ser>
        <c:ser>
          <c:idx val="1"/>
          <c:order val="1"/>
          <c:invertIfNegative val="0"/>
          <c:dLbls>
            <c:dLbl>
              <c:idx val="1"/>
              <c:tx>
                <c:rich>
                  <a:bodyPr/>
                  <a:lstStyle/>
                  <a:p>
                    <a:pPr>
                      <a:defRPr sz="1200" b="1" i="0" u="none" strike="noStrike" baseline="0">
                        <a:solidFill>
                          <a:srgbClr val="000000"/>
                        </a:solidFill>
                        <a:latin typeface="Arial"/>
                        <a:ea typeface="Arial"/>
                        <a:cs typeface="Arial"/>
                      </a:defRPr>
                    </a:pPr>
                    <a:r>
                      <a:rPr lang="es-ES"/>
                      <a:t>+ 53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601-4262-939A-15AD609BDEC4}"/>
                </c:ext>
              </c:extLst>
            </c:dLbl>
            <c:dLbl>
              <c:idx val="2"/>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01-4262-939A-15AD609BDEC4}"/>
                </c:ext>
              </c:extLst>
            </c:dLbl>
            <c:dLbl>
              <c:idx val="3"/>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01-4262-939A-15AD609BDEC4}"/>
                </c:ext>
              </c:extLst>
            </c:dLbl>
            <c:dLbl>
              <c:idx val="4"/>
              <c:tx>
                <c:rich>
                  <a:bodyPr/>
                  <a:lstStyle/>
                  <a:p>
                    <a:pPr>
                      <a:defRPr sz="1200" b="1" i="0" u="none" strike="noStrike" baseline="0">
                        <a:solidFill>
                          <a:srgbClr val="000000"/>
                        </a:solidFill>
                        <a:latin typeface="Arial"/>
                        <a:ea typeface="Arial"/>
                        <a:cs typeface="Arial"/>
                      </a:defRPr>
                    </a:pPr>
                    <a:r>
                      <a:rPr lang="es-ES"/>
                      <a:t>- 27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7601-4262-939A-15AD609BDEC4}"/>
                </c:ext>
              </c:extLst>
            </c:dLbl>
            <c:numFmt formatCode="&quot;-&quot;\ #,##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Ppto a dic. 2011</c:v>
              </c:pt>
              <c:pt idx="1">
                <c:v>Colombia</c:v>
              </c:pt>
              <c:pt idx="2">
                <c:v>EE.UU.</c:v>
              </c:pt>
              <c:pt idx="3">
                <c:v>Caribe</c:v>
              </c:pt>
              <c:pt idx="4">
                <c:v>Otros</c:v>
              </c:pt>
              <c:pt idx="5">
                <c:v>Real a dic. 2011</c:v>
              </c:pt>
            </c:strLit>
          </c:cat>
          <c:val>
            <c:numLit>
              <c:formatCode>General</c:formatCode>
              <c:ptCount val="6"/>
              <c:pt idx="1">
                <c:v>52.83612692600002</c:v>
              </c:pt>
              <c:pt idx="2">
                <c:v>28.060372853927049</c:v>
              </c:pt>
              <c:pt idx="3">
                <c:v>32.445778482543972</c:v>
              </c:pt>
              <c:pt idx="4">
                <c:v>26.973531493524405</c:v>
              </c:pt>
            </c:numLit>
          </c:val>
          <c:extLst>
            <c:ext xmlns:c16="http://schemas.microsoft.com/office/drawing/2014/chart" uri="{C3380CC4-5D6E-409C-BE32-E72D297353CC}">
              <c16:uniqueId val="{00000005-7601-4262-939A-15AD609BDEC4}"/>
            </c:ext>
          </c:extLst>
        </c:ser>
        <c:dLbls>
          <c:showLegendKey val="0"/>
          <c:showVal val="0"/>
          <c:showCatName val="0"/>
          <c:showSerName val="0"/>
          <c:showPercent val="0"/>
          <c:showBubbleSize val="0"/>
        </c:dLbls>
        <c:gapWidth val="150"/>
        <c:overlap val="100"/>
        <c:axId val="617537312"/>
        <c:axId val="617536920"/>
      </c:barChart>
      <c:catAx>
        <c:axId val="617537312"/>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1100" b="1" i="0" u="none" strike="noStrike" baseline="0">
                <a:solidFill>
                  <a:srgbClr val="000000"/>
                </a:solidFill>
                <a:latin typeface="Arial"/>
                <a:ea typeface="Arial"/>
                <a:cs typeface="Arial"/>
              </a:defRPr>
            </a:pPr>
            <a:endParaRPr lang="en-US"/>
          </a:p>
        </c:txPr>
        <c:crossAx val="617536920"/>
        <c:crosses val="autoZero"/>
        <c:auto val="1"/>
        <c:lblAlgn val="ctr"/>
        <c:lblOffset val="100"/>
        <c:noMultiLvlLbl val="0"/>
      </c:catAx>
      <c:valAx>
        <c:axId val="617536920"/>
        <c:scaling>
          <c:orientation val="minMax"/>
          <c:max val="1800"/>
          <c:min val="0"/>
        </c:scaling>
        <c:delete val="0"/>
        <c:axPos val="l"/>
        <c:numFmt formatCode="General" sourceLinked="1"/>
        <c:majorTickMark val="none"/>
        <c:minorTickMark val="none"/>
        <c:tickLblPos val="none"/>
        <c:spPr>
          <a:ln>
            <a:solidFill>
              <a:schemeClr val="bg1"/>
            </a:solidFill>
          </a:ln>
        </c:spPr>
        <c:crossAx val="617537312"/>
        <c:crosses val="autoZero"/>
        <c:crossBetween val="between"/>
        <c:majorUnit val="10"/>
        <c:minorUnit val="3.6"/>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77" l="0.70000000000000062" r="0.70000000000000062" t="0.750000000000003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Lit>
              <c:ptCount val="6"/>
              <c:pt idx="0">
                <c:v>Ppto a dic. 2011</c:v>
              </c:pt>
              <c:pt idx="1">
                <c:v>Colombia</c:v>
              </c:pt>
              <c:pt idx="2">
                <c:v>EE.UU.</c:v>
              </c:pt>
              <c:pt idx="3">
                <c:v>Caribe</c:v>
              </c:pt>
              <c:pt idx="4">
                <c:v>Otros</c:v>
              </c:pt>
              <c:pt idx="5">
                <c:v>Real a dic. 2011</c:v>
              </c:pt>
            </c:strLit>
          </c:cat>
          <c:val>
            <c:numLit>
              <c:formatCode>General</c:formatCode>
              <c:ptCount val="6"/>
              <c:pt idx="0">
                <c:v>258.56819704383702</c:v>
              </c:pt>
              <c:pt idx="1">
                <c:v>258.56819704383702</c:v>
              </c:pt>
              <c:pt idx="2">
                <c:v>280.35849533998254</c:v>
              </c:pt>
              <c:pt idx="3">
                <c:v>280.35849533998254</c:v>
              </c:pt>
              <c:pt idx="4">
                <c:v>293.47761679224243</c:v>
              </c:pt>
              <c:pt idx="5">
                <c:v>295.27193766328725</c:v>
              </c:pt>
            </c:numLit>
          </c:val>
          <c:extLst>
            <c:ext xmlns:c16="http://schemas.microsoft.com/office/drawing/2014/chart" uri="{C3380CC4-5D6E-409C-BE32-E72D297353CC}">
              <c16:uniqueId val="{00000000-DB86-48A9-AB0F-215CF080224D}"/>
            </c:ext>
          </c:extLst>
        </c:ser>
        <c:ser>
          <c:idx val="1"/>
          <c:order val="1"/>
          <c:invertIfNegative val="0"/>
          <c:dLbls>
            <c:dLbl>
              <c:idx val="1"/>
              <c:tx>
                <c:rich>
                  <a:bodyPr/>
                  <a:lstStyle/>
                  <a:p>
                    <a:pPr>
                      <a:defRPr sz="1200" b="1" i="0" u="none" strike="noStrike" baseline="0">
                        <a:solidFill>
                          <a:srgbClr val="000000"/>
                        </a:solidFill>
                        <a:latin typeface="Arial"/>
                        <a:ea typeface="Arial"/>
                        <a:cs typeface="Arial"/>
                      </a:defRPr>
                    </a:pPr>
                    <a:r>
                      <a:rPr lang="es-ES"/>
                      <a:t>+ 31</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B86-48A9-AB0F-215CF080224D}"/>
                </c:ext>
              </c:extLst>
            </c:dLbl>
            <c:dLbl>
              <c:idx val="2"/>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86-48A9-AB0F-215CF080224D}"/>
                </c:ext>
              </c:extLst>
            </c:dLbl>
            <c:dLbl>
              <c:idx val="3"/>
              <c:tx>
                <c:rich>
                  <a:bodyPr/>
                  <a:lstStyle/>
                  <a:p>
                    <a:pPr>
                      <a:defRPr sz="1200" b="1" i="0" u="none" strike="noStrike" baseline="0">
                        <a:solidFill>
                          <a:srgbClr val="000000"/>
                        </a:solidFill>
                        <a:latin typeface="Arial"/>
                        <a:ea typeface="Arial"/>
                        <a:cs typeface="Arial"/>
                      </a:defRPr>
                    </a:pPr>
                    <a:r>
                      <a:rPr lang="es-ES"/>
                      <a:t>+ 13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B86-48A9-AB0F-215CF080224D}"/>
                </c:ext>
              </c:extLst>
            </c:dLbl>
            <c:dLbl>
              <c:idx val="4"/>
              <c:tx>
                <c:rich>
                  <a:bodyPr/>
                  <a:lstStyle/>
                  <a:p>
                    <a:pPr>
                      <a:defRPr sz="1200" b="1" i="0" u="none" strike="noStrike" baseline="0">
                        <a:solidFill>
                          <a:srgbClr val="000000"/>
                        </a:solidFill>
                        <a:latin typeface="Arial"/>
                        <a:ea typeface="Arial"/>
                        <a:cs typeface="Arial"/>
                      </a:defRPr>
                    </a:pPr>
                    <a:r>
                      <a:rPr lang="es-ES"/>
                      <a:t>+ 2</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DB86-48A9-AB0F-215CF080224D}"/>
                </c:ext>
              </c:extLst>
            </c:dLbl>
            <c:numFmt formatCode="&quot;-&quot;\ #,##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Ppto a dic. 2011</c:v>
              </c:pt>
              <c:pt idx="1">
                <c:v>Colombia</c:v>
              </c:pt>
              <c:pt idx="2">
                <c:v>EE.UU.</c:v>
              </c:pt>
              <c:pt idx="3">
                <c:v>Caribe</c:v>
              </c:pt>
              <c:pt idx="4">
                <c:v>Otros</c:v>
              </c:pt>
              <c:pt idx="5">
                <c:v>Real a dic. 2011</c:v>
              </c:pt>
            </c:strLit>
          </c:cat>
          <c:val>
            <c:numLit>
              <c:formatCode>General</c:formatCode>
              <c:ptCount val="6"/>
              <c:pt idx="1">
                <c:v>30.899603648679999</c:v>
              </c:pt>
              <c:pt idx="2">
                <c:v>9.1093053525344594</c:v>
              </c:pt>
              <c:pt idx="3">
                <c:v>13.11912145225989</c:v>
              </c:pt>
              <c:pt idx="4">
                <c:v>1.7943208710448033</c:v>
              </c:pt>
            </c:numLit>
          </c:val>
          <c:extLst>
            <c:ext xmlns:c16="http://schemas.microsoft.com/office/drawing/2014/chart" uri="{C3380CC4-5D6E-409C-BE32-E72D297353CC}">
              <c16:uniqueId val="{00000005-DB86-48A9-AB0F-215CF080224D}"/>
            </c:ext>
          </c:extLst>
        </c:ser>
        <c:dLbls>
          <c:showLegendKey val="0"/>
          <c:showVal val="0"/>
          <c:showCatName val="0"/>
          <c:showSerName val="0"/>
          <c:showPercent val="0"/>
          <c:showBubbleSize val="0"/>
        </c:dLbls>
        <c:gapWidth val="150"/>
        <c:overlap val="100"/>
        <c:axId val="1091307120"/>
        <c:axId val="1091306336"/>
      </c:barChart>
      <c:catAx>
        <c:axId val="1091307120"/>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1100" b="1" i="0" u="none" strike="noStrike" baseline="0">
                <a:solidFill>
                  <a:srgbClr val="000000"/>
                </a:solidFill>
                <a:latin typeface="Arial"/>
                <a:ea typeface="Arial"/>
                <a:cs typeface="Arial"/>
              </a:defRPr>
            </a:pPr>
            <a:endParaRPr lang="en-US"/>
          </a:p>
        </c:txPr>
        <c:crossAx val="1091306336"/>
        <c:crosses val="autoZero"/>
        <c:auto val="1"/>
        <c:lblAlgn val="ctr"/>
        <c:lblOffset val="100"/>
        <c:noMultiLvlLbl val="0"/>
      </c:catAx>
      <c:valAx>
        <c:axId val="1091306336"/>
        <c:scaling>
          <c:orientation val="minMax"/>
          <c:max val="340"/>
          <c:min val="0"/>
        </c:scaling>
        <c:delete val="0"/>
        <c:axPos val="l"/>
        <c:numFmt formatCode="General" sourceLinked="1"/>
        <c:majorTickMark val="none"/>
        <c:minorTickMark val="none"/>
        <c:tickLblPos val="none"/>
        <c:spPr>
          <a:ln>
            <a:solidFill>
              <a:schemeClr val="bg1"/>
            </a:solidFill>
          </a:ln>
        </c:spPr>
        <c:crossAx val="1091307120"/>
        <c:crosses val="autoZero"/>
        <c:crossBetween val="between"/>
        <c:majorUnit val="5"/>
        <c:minorUnit val="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 l="0.70000000000000062" r="0.70000000000000062" t="0.750000000000004" header="0.30000000000000032" footer="0.30000000000000032"/>
    <c:pageSetup orientation="portrait"/>
  </c:printSettings>
</c:chartSpac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57150</xdr:colOff>
          <xdr:row>0</xdr:row>
          <xdr:rowOff>0</xdr:rowOff>
        </xdr:to>
        <xdr:sp macro="" textlink="">
          <xdr:nvSpPr>
            <xdr:cNvPr id="38913" name="FPMExcelClientSheetOptionstb1" hidden="1">
              <a:extLst>
                <a:ext uri="{63B3BB69-23CF-44E3-9099-C40C66FF867C}">
                  <a14:compatExt spid="_x0000_s38913"/>
                </a:ext>
                <a:ext uri="{FF2B5EF4-FFF2-40B4-BE49-F238E27FC236}">
                  <a16:creationId xmlns:a16="http://schemas.microsoft.com/office/drawing/2014/main" id="{00000000-0008-0000-0000-0000019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762000</xdr:colOff>
          <xdr:row>0</xdr:row>
          <xdr:rowOff>0</xdr:rowOff>
        </xdr:to>
        <xdr:sp macro="" textlink="">
          <xdr:nvSpPr>
            <xdr:cNvPr id="39937" name="FPMExcelClientSheetOptionstb1" hidden="1">
              <a:extLst>
                <a:ext uri="{63B3BB69-23CF-44E3-9099-C40C66FF867C}">
                  <a14:compatExt spid="_x0000_s39937"/>
                </a:ext>
                <a:ext uri="{FF2B5EF4-FFF2-40B4-BE49-F238E27FC236}">
                  <a16:creationId xmlns:a16="http://schemas.microsoft.com/office/drawing/2014/main" id="{00000000-0008-0000-0100-0000019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1085850</xdr:colOff>
      <xdr:row>20</xdr:row>
      <xdr:rowOff>28575</xdr:rowOff>
    </xdr:from>
    <xdr:to>
      <xdr:col>10</xdr:col>
      <xdr:colOff>200025</xdr:colOff>
      <xdr:row>40</xdr:row>
      <xdr:rowOff>180975</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762000</xdr:colOff>
      <xdr:row>51</xdr:row>
      <xdr:rowOff>66675</xdr:rowOff>
    </xdr:from>
    <xdr:to>
      <xdr:col>11</xdr:col>
      <xdr:colOff>609600</xdr:colOff>
      <xdr:row>62</xdr:row>
      <xdr:rowOff>180975</xdr:rowOff>
    </xdr:to>
    <xdr:graphicFrame macro="">
      <xdr:nvGraphicFramePr>
        <xdr:cNvPr id="3" name="3 Gráfico">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990600</xdr:colOff>
      <xdr:row>77</xdr:row>
      <xdr:rowOff>123825</xdr:rowOff>
    </xdr:from>
    <xdr:to>
      <xdr:col>12</xdr:col>
      <xdr:colOff>38100</xdr:colOff>
      <xdr:row>89</xdr:row>
      <xdr:rowOff>123825</xdr:rowOff>
    </xdr:to>
    <xdr:graphicFrame macro="">
      <xdr:nvGraphicFramePr>
        <xdr:cNvPr id="4" name="5 Gráfico">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571500</xdr:colOff>
      <xdr:row>42</xdr:row>
      <xdr:rowOff>9525</xdr:rowOff>
    </xdr:from>
    <xdr:to>
      <xdr:col>6</xdr:col>
      <xdr:colOff>209550</xdr:colOff>
      <xdr:row>46</xdr:row>
      <xdr:rowOff>95250</xdr:rowOff>
    </xdr:to>
    <xdr:sp macro="" textlink="">
      <xdr:nvSpPr>
        <xdr:cNvPr id="5" name="AutoShape 82">
          <a:extLst>
            <a:ext uri="{FF2B5EF4-FFF2-40B4-BE49-F238E27FC236}">
              <a16:creationId xmlns:a16="http://schemas.microsoft.com/office/drawing/2014/main" id="{00000000-0008-0000-0500-000005000000}"/>
            </a:ext>
          </a:extLst>
        </xdr:cNvPr>
        <xdr:cNvSpPr>
          <a:spLocks noChangeArrowheads="1"/>
        </xdr:cNvSpPr>
      </xdr:nvSpPr>
      <xdr:spPr bwMode="auto">
        <a:xfrm>
          <a:off x="4171950" y="8058150"/>
          <a:ext cx="3352800" cy="0"/>
        </a:xfrm>
        <a:prstGeom prst="wedgeRoundRectCallout">
          <a:avLst>
            <a:gd name="adj1" fmla="val -50981"/>
            <a:gd name="adj2" fmla="val 93819"/>
            <a:gd name="adj3" fmla="val 16667"/>
          </a:avLst>
        </a:prstGeom>
        <a:solidFill>
          <a:srgbClr val="99CCFF"/>
        </a:solidFill>
        <a:ln w="9525">
          <a:solidFill>
            <a:srgbClr val="000000"/>
          </a:solidFill>
          <a:miter lim="800000"/>
          <a:headEnd/>
          <a:tailEnd/>
        </a:ln>
      </xdr:spPr>
      <xdr:txBody>
        <a:bodyPr vertOverflow="clip" wrap="square" lIns="36576" tIns="36576" rIns="36576" bIns="0" anchor="t" upright="1"/>
        <a:lstStyle/>
        <a:p>
          <a:pPr algn="ctr" rtl="0">
            <a:defRPr sz="1000"/>
          </a:pPr>
          <a:r>
            <a:rPr lang="es-CO" sz="1600" b="1" i="0" u="none" strike="noStrike" baseline="0">
              <a:solidFill>
                <a:srgbClr val="FF0000"/>
              </a:solidFill>
              <a:latin typeface="Calibri"/>
            </a:rPr>
            <a:t>no va</a:t>
          </a:r>
        </a:p>
      </xdr:txBody>
    </xdr:sp>
    <xdr:clientData/>
  </xdr:twoCellAnchor>
  <xdr:twoCellAnchor>
    <xdr:from>
      <xdr:col>4</xdr:col>
      <xdr:colOff>472440</xdr:colOff>
      <xdr:row>41</xdr:row>
      <xdr:rowOff>0</xdr:rowOff>
    </xdr:from>
    <xdr:to>
      <xdr:col>7</xdr:col>
      <xdr:colOff>112390</xdr:colOff>
      <xdr:row>41</xdr:row>
      <xdr:rowOff>0</xdr:rowOff>
    </xdr:to>
    <xdr:sp macro="" textlink="">
      <xdr:nvSpPr>
        <xdr:cNvPr id="6" name="AutoShape 83">
          <a:extLst>
            <a:ext uri="{FF2B5EF4-FFF2-40B4-BE49-F238E27FC236}">
              <a16:creationId xmlns:a16="http://schemas.microsoft.com/office/drawing/2014/main" id="{00000000-0008-0000-0500-000006000000}"/>
            </a:ext>
          </a:extLst>
        </xdr:cNvPr>
        <xdr:cNvSpPr>
          <a:spLocks noChangeArrowheads="1"/>
        </xdr:cNvSpPr>
      </xdr:nvSpPr>
      <xdr:spPr bwMode="auto">
        <a:xfrm>
          <a:off x="4644390" y="8058150"/>
          <a:ext cx="3745225" cy="0"/>
        </a:xfrm>
        <a:prstGeom prst="wedgeRoundRectCallout">
          <a:avLst>
            <a:gd name="adj1" fmla="val -92157"/>
            <a:gd name="adj2" fmla="val 18537"/>
            <a:gd name="adj3" fmla="val 16667"/>
          </a:avLst>
        </a:prstGeom>
        <a:solidFill>
          <a:srgbClr val="99CCFF"/>
        </a:solidFill>
        <a:ln w="9525">
          <a:solidFill>
            <a:srgbClr val="000000"/>
          </a:solidFill>
          <a:miter lim="800000"/>
          <a:headEnd/>
          <a:tailEnd/>
        </a:ln>
      </xdr:spPr>
      <xdr:txBody>
        <a:bodyPr vertOverflow="clip" wrap="square" lIns="36576" tIns="36576" rIns="36576" bIns="0" anchor="t" upright="1"/>
        <a:lstStyle/>
        <a:p>
          <a:pPr algn="ctr" rtl="0">
            <a:defRPr sz="1000"/>
          </a:pPr>
          <a:r>
            <a:rPr lang="es-CO" sz="1600" b="1" i="0" u="none" strike="noStrike" baseline="0">
              <a:solidFill>
                <a:srgbClr val="FF0000"/>
              </a:solidFill>
              <a:latin typeface="Calibri"/>
            </a:rPr>
            <a:t>no va</a:t>
          </a:r>
        </a:p>
      </xdr:txBody>
    </xdr:sp>
    <xdr:clientData/>
  </xdr:twoCellAnchor>
  <xdr:twoCellAnchor>
    <xdr:from>
      <xdr:col>0</xdr:col>
      <xdr:colOff>0</xdr:colOff>
      <xdr:row>31</xdr:row>
      <xdr:rowOff>24683</xdr:rowOff>
    </xdr:from>
    <xdr:to>
      <xdr:col>25</xdr:col>
      <xdr:colOff>466725</xdr:colOff>
      <xdr:row>31</xdr:row>
      <xdr:rowOff>24683</xdr:rowOff>
    </xdr:to>
    <xdr:sp macro="" textlink="">
      <xdr:nvSpPr>
        <xdr:cNvPr id="7" name="Line 74">
          <a:extLst>
            <a:ext uri="{FF2B5EF4-FFF2-40B4-BE49-F238E27FC236}">
              <a16:creationId xmlns:a16="http://schemas.microsoft.com/office/drawing/2014/main" id="{00000000-0008-0000-0500-000007000000}"/>
            </a:ext>
          </a:extLst>
        </xdr:cNvPr>
        <xdr:cNvSpPr>
          <a:spLocks noChangeShapeType="1"/>
        </xdr:cNvSpPr>
      </xdr:nvSpPr>
      <xdr:spPr bwMode="auto">
        <a:xfrm>
          <a:off x="0" y="6177833"/>
          <a:ext cx="22536150" cy="0"/>
        </a:xfrm>
        <a:prstGeom prst="line">
          <a:avLst/>
        </a:prstGeom>
        <a:noFill/>
        <a:ln w="3175">
          <a:solidFill>
            <a:srgbClr val="993366"/>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628650</xdr:colOff>
      <xdr:row>20</xdr:row>
      <xdr:rowOff>133349</xdr:rowOff>
    </xdr:from>
    <xdr:to>
      <xdr:col>10</xdr:col>
      <xdr:colOff>695325</xdr:colOff>
      <xdr:row>94</xdr:row>
      <xdr:rowOff>161924</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762000</xdr:colOff>
      <xdr:row>51</xdr:row>
      <xdr:rowOff>66675</xdr:rowOff>
    </xdr:from>
    <xdr:to>
      <xdr:col>12</xdr:col>
      <xdr:colOff>609600</xdr:colOff>
      <xdr:row>62</xdr:row>
      <xdr:rowOff>180975</xdr:rowOff>
    </xdr:to>
    <xdr:graphicFrame macro="">
      <xdr:nvGraphicFramePr>
        <xdr:cNvPr id="3" name="3 Gráfic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990600</xdr:colOff>
      <xdr:row>77</xdr:row>
      <xdr:rowOff>123825</xdr:rowOff>
    </xdr:from>
    <xdr:to>
      <xdr:col>13</xdr:col>
      <xdr:colOff>38100</xdr:colOff>
      <xdr:row>89</xdr:row>
      <xdr:rowOff>123825</xdr:rowOff>
    </xdr:to>
    <xdr:graphicFrame macro="">
      <xdr:nvGraphicFramePr>
        <xdr:cNvPr id="4" name="5 Gráfico">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567690</xdr:colOff>
      <xdr:row>41</xdr:row>
      <xdr:rowOff>0</xdr:rowOff>
    </xdr:from>
    <xdr:to>
      <xdr:col>7</xdr:col>
      <xdr:colOff>209575</xdr:colOff>
      <xdr:row>41</xdr:row>
      <xdr:rowOff>0</xdr:rowOff>
    </xdr:to>
    <xdr:sp macro="" textlink="">
      <xdr:nvSpPr>
        <xdr:cNvPr id="5" name="AutoShape 82">
          <a:extLst>
            <a:ext uri="{FF2B5EF4-FFF2-40B4-BE49-F238E27FC236}">
              <a16:creationId xmlns:a16="http://schemas.microsoft.com/office/drawing/2014/main" id="{00000000-0008-0000-0600-000005000000}"/>
            </a:ext>
          </a:extLst>
        </xdr:cNvPr>
        <xdr:cNvSpPr>
          <a:spLocks noChangeArrowheads="1"/>
        </xdr:cNvSpPr>
      </xdr:nvSpPr>
      <xdr:spPr bwMode="auto">
        <a:xfrm>
          <a:off x="3434715" y="8134350"/>
          <a:ext cx="3394735" cy="0"/>
        </a:xfrm>
        <a:prstGeom prst="wedgeRoundRectCallout">
          <a:avLst>
            <a:gd name="adj1" fmla="val -50981"/>
            <a:gd name="adj2" fmla="val 93819"/>
            <a:gd name="adj3" fmla="val 16667"/>
          </a:avLst>
        </a:prstGeom>
        <a:solidFill>
          <a:srgbClr val="99CCFF"/>
        </a:solidFill>
        <a:ln w="9525">
          <a:solidFill>
            <a:srgbClr val="000000"/>
          </a:solidFill>
          <a:miter lim="800000"/>
          <a:headEnd/>
          <a:tailEnd/>
        </a:ln>
      </xdr:spPr>
      <xdr:txBody>
        <a:bodyPr vertOverflow="clip" wrap="square" lIns="36576" tIns="36576" rIns="36576" bIns="0" anchor="t" upright="1"/>
        <a:lstStyle/>
        <a:p>
          <a:pPr algn="ctr" rtl="0">
            <a:defRPr sz="1000"/>
          </a:pPr>
          <a:r>
            <a:rPr lang="es-CO" sz="1600" b="1" i="0" u="none" strike="noStrike" baseline="0">
              <a:solidFill>
                <a:srgbClr val="FF0000"/>
              </a:solidFill>
              <a:latin typeface="Calibri"/>
            </a:rPr>
            <a:t>no va</a:t>
          </a:r>
        </a:p>
      </xdr:txBody>
    </xdr:sp>
    <xdr:clientData/>
  </xdr:twoCellAnchor>
  <xdr:twoCellAnchor>
    <xdr:from>
      <xdr:col>4</xdr:col>
      <xdr:colOff>462915</xdr:colOff>
      <xdr:row>41</xdr:row>
      <xdr:rowOff>0</xdr:rowOff>
    </xdr:from>
    <xdr:to>
      <xdr:col>8</xdr:col>
      <xdr:colOff>114278</xdr:colOff>
      <xdr:row>41</xdr:row>
      <xdr:rowOff>0</xdr:rowOff>
    </xdr:to>
    <xdr:sp macro="" textlink="">
      <xdr:nvSpPr>
        <xdr:cNvPr id="6" name="AutoShape 83">
          <a:extLst>
            <a:ext uri="{FF2B5EF4-FFF2-40B4-BE49-F238E27FC236}">
              <a16:creationId xmlns:a16="http://schemas.microsoft.com/office/drawing/2014/main" id="{00000000-0008-0000-0600-000006000000}"/>
            </a:ext>
          </a:extLst>
        </xdr:cNvPr>
        <xdr:cNvSpPr>
          <a:spLocks noChangeArrowheads="1"/>
        </xdr:cNvSpPr>
      </xdr:nvSpPr>
      <xdr:spPr bwMode="auto">
        <a:xfrm>
          <a:off x="4234815" y="8134350"/>
          <a:ext cx="3489938" cy="0"/>
        </a:xfrm>
        <a:prstGeom prst="wedgeRoundRectCallout">
          <a:avLst>
            <a:gd name="adj1" fmla="val -92157"/>
            <a:gd name="adj2" fmla="val 18537"/>
            <a:gd name="adj3" fmla="val 16667"/>
          </a:avLst>
        </a:prstGeom>
        <a:solidFill>
          <a:srgbClr val="99CCFF"/>
        </a:solidFill>
        <a:ln w="9525">
          <a:solidFill>
            <a:srgbClr val="000000"/>
          </a:solidFill>
          <a:miter lim="800000"/>
          <a:headEnd/>
          <a:tailEnd/>
        </a:ln>
      </xdr:spPr>
      <xdr:txBody>
        <a:bodyPr vertOverflow="clip" wrap="square" lIns="36576" tIns="36576" rIns="36576" bIns="0" anchor="t" upright="1"/>
        <a:lstStyle/>
        <a:p>
          <a:pPr algn="ctr" rtl="0">
            <a:defRPr sz="1000"/>
          </a:pPr>
          <a:r>
            <a:rPr lang="es-CO" sz="1600" b="1" i="0" u="none" strike="noStrike" baseline="0">
              <a:solidFill>
                <a:srgbClr val="FF0000"/>
              </a:solidFill>
              <a:latin typeface="Calibri"/>
            </a:rPr>
            <a:t>no va</a:t>
          </a:r>
        </a:p>
      </xdr:txBody>
    </xdr:sp>
    <xdr:clientData/>
  </xdr:twoCellAnchor>
  <xdr:twoCellAnchor>
    <xdr:from>
      <xdr:col>0</xdr:col>
      <xdr:colOff>0</xdr:colOff>
      <xdr:row>98</xdr:row>
      <xdr:rowOff>55399</xdr:rowOff>
    </xdr:from>
    <xdr:to>
      <xdr:col>24</xdr:col>
      <xdr:colOff>314325</xdr:colOff>
      <xdr:row>98</xdr:row>
      <xdr:rowOff>55399</xdr:rowOff>
    </xdr:to>
    <xdr:sp macro="" textlink="">
      <xdr:nvSpPr>
        <xdr:cNvPr id="7" name="Line 74">
          <a:extLst>
            <a:ext uri="{FF2B5EF4-FFF2-40B4-BE49-F238E27FC236}">
              <a16:creationId xmlns:a16="http://schemas.microsoft.com/office/drawing/2014/main" id="{00000000-0008-0000-0600-000007000000}"/>
            </a:ext>
          </a:extLst>
        </xdr:cNvPr>
        <xdr:cNvSpPr>
          <a:spLocks noChangeShapeType="1"/>
        </xdr:cNvSpPr>
      </xdr:nvSpPr>
      <xdr:spPr bwMode="auto">
        <a:xfrm>
          <a:off x="0" y="8951749"/>
          <a:ext cx="19411950" cy="0"/>
        </a:xfrm>
        <a:prstGeom prst="line">
          <a:avLst/>
        </a:prstGeom>
        <a:noFill/>
        <a:ln w="3175">
          <a:solidFill>
            <a:srgbClr val="993366"/>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596265</xdr:colOff>
      <xdr:row>21</xdr:row>
      <xdr:rowOff>114299</xdr:rowOff>
    </xdr:from>
    <xdr:to>
      <xdr:col>11</xdr:col>
      <xdr:colOff>510540</xdr:colOff>
      <xdr:row>100</xdr:row>
      <xdr:rowOff>85725</xdr:rowOff>
    </xdr:to>
    <xdr:graphicFrame macro="">
      <xdr:nvGraphicFramePr>
        <xdr:cNvPr id="2" name="1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762000</xdr:colOff>
      <xdr:row>53</xdr:row>
      <xdr:rowOff>66675</xdr:rowOff>
    </xdr:from>
    <xdr:to>
      <xdr:col>12</xdr:col>
      <xdr:colOff>609600</xdr:colOff>
      <xdr:row>64</xdr:row>
      <xdr:rowOff>180975</xdr:rowOff>
    </xdr:to>
    <xdr:graphicFrame macro="">
      <xdr:nvGraphicFramePr>
        <xdr:cNvPr id="3" name="3 Gráfico">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990600</xdr:colOff>
      <xdr:row>79</xdr:row>
      <xdr:rowOff>123825</xdr:rowOff>
    </xdr:from>
    <xdr:to>
      <xdr:col>13</xdr:col>
      <xdr:colOff>38100</xdr:colOff>
      <xdr:row>91</xdr:row>
      <xdr:rowOff>123825</xdr:rowOff>
    </xdr:to>
    <xdr:graphicFrame macro="">
      <xdr:nvGraphicFramePr>
        <xdr:cNvPr id="4" name="5 Gráfico">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571500</xdr:colOff>
      <xdr:row>44</xdr:row>
      <xdr:rowOff>9525</xdr:rowOff>
    </xdr:from>
    <xdr:to>
      <xdr:col>7</xdr:col>
      <xdr:colOff>209550</xdr:colOff>
      <xdr:row>48</xdr:row>
      <xdr:rowOff>95250</xdr:rowOff>
    </xdr:to>
    <xdr:sp macro="" textlink="">
      <xdr:nvSpPr>
        <xdr:cNvPr id="5" name="AutoShape 82">
          <a:extLst>
            <a:ext uri="{FF2B5EF4-FFF2-40B4-BE49-F238E27FC236}">
              <a16:creationId xmlns:a16="http://schemas.microsoft.com/office/drawing/2014/main" id="{00000000-0008-0000-0700-000005000000}"/>
            </a:ext>
          </a:extLst>
        </xdr:cNvPr>
        <xdr:cNvSpPr>
          <a:spLocks noChangeArrowheads="1"/>
        </xdr:cNvSpPr>
      </xdr:nvSpPr>
      <xdr:spPr bwMode="auto">
        <a:xfrm>
          <a:off x="3581400" y="8343900"/>
          <a:ext cx="3314700" cy="0"/>
        </a:xfrm>
        <a:prstGeom prst="wedgeRoundRectCallout">
          <a:avLst>
            <a:gd name="adj1" fmla="val -50981"/>
            <a:gd name="adj2" fmla="val 93819"/>
            <a:gd name="adj3" fmla="val 16667"/>
          </a:avLst>
        </a:prstGeom>
        <a:solidFill>
          <a:srgbClr val="99CCFF"/>
        </a:solidFill>
        <a:ln w="9525">
          <a:solidFill>
            <a:srgbClr val="000000"/>
          </a:solidFill>
          <a:miter lim="800000"/>
          <a:headEnd/>
          <a:tailEnd/>
        </a:ln>
      </xdr:spPr>
      <xdr:txBody>
        <a:bodyPr vertOverflow="clip" wrap="square" lIns="36576" tIns="36576" rIns="36576" bIns="0" anchor="t" upright="1"/>
        <a:lstStyle/>
        <a:p>
          <a:pPr algn="ctr" rtl="0">
            <a:defRPr sz="1000"/>
          </a:pPr>
          <a:r>
            <a:rPr lang="es-CO" sz="1600" b="1" i="0" u="none" strike="noStrike" baseline="0">
              <a:solidFill>
                <a:srgbClr val="FF0000"/>
              </a:solidFill>
              <a:latin typeface="Calibri"/>
            </a:rPr>
            <a:t>no va</a:t>
          </a:r>
        </a:p>
      </xdr:txBody>
    </xdr:sp>
    <xdr:clientData/>
  </xdr:twoCellAnchor>
  <xdr:twoCellAnchor>
    <xdr:from>
      <xdr:col>4</xdr:col>
      <xdr:colOff>462915</xdr:colOff>
      <xdr:row>43</xdr:row>
      <xdr:rowOff>0</xdr:rowOff>
    </xdr:from>
    <xdr:to>
      <xdr:col>8</xdr:col>
      <xdr:colOff>114264</xdr:colOff>
      <xdr:row>43</xdr:row>
      <xdr:rowOff>0</xdr:rowOff>
    </xdr:to>
    <xdr:sp macro="" textlink="">
      <xdr:nvSpPr>
        <xdr:cNvPr id="6" name="AutoShape 83">
          <a:extLst>
            <a:ext uri="{FF2B5EF4-FFF2-40B4-BE49-F238E27FC236}">
              <a16:creationId xmlns:a16="http://schemas.microsoft.com/office/drawing/2014/main" id="{00000000-0008-0000-0700-000006000000}"/>
            </a:ext>
          </a:extLst>
        </xdr:cNvPr>
        <xdr:cNvSpPr>
          <a:spLocks noChangeArrowheads="1"/>
        </xdr:cNvSpPr>
      </xdr:nvSpPr>
      <xdr:spPr bwMode="auto">
        <a:xfrm>
          <a:off x="4091940" y="8343900"/>
          <a:ext cx="4185249" cy="0"/>
        </a:xfrm>
        <a:prstGeom prst="wedgeRoundRectCallout">
          <a:avLst>
            <a:gd name="adj1" fmla="val -92157"/>
            <a:gd name="adj2" fmla="val 18537"/>
            <a:gd name="adj3" fmla="val 16667"/>
          </a:avLst>
        </a:prstGeom>
        <a:solidFill>
          <a:srgbClr val="99CCFF"/>
        </a:solidFill>
        <a:ln w="9525">
          <a:solidFill>
            <a:srgbClr val="000000"/>
          </a:solidFill>
          <a:miter lim="800000"/>
          <a:headEnd/>
          <a:tailEnd/>
        </a:ln>
      </xdr:spPr>
      <xdr:txBody>
        <a:bodyPr vertOverflow="clip" wrap="square" lIns="36576" tIns="36576" rIns="36576" bIns="0" anchor="t" upright="1"/>
        <a:lstStyle/>
        <a:p>
          <a:pPr algn="ctr" rtl="0">
            <a:defRPr sz="1000"/>
          </a:pPr>
          <a:r>
            <a:rPr lang="es-CO" sz="1600" b="1" i="0" u="none" strike="noStrike" baseline="0">
              <a:solidFill>
                <a:srgbClr val="FF0000"/>
              </a:solidFill>
              <a:latin typeface="Calibri"/>
            </a:rPr>
            <a:t>no va</a:t>
          </a:r>
        </a:p>
      </xdr:txBody>
    </xdr:sp>
    <xdr:clientData/>
  </xdr:twoCellAnchor>
  <xdr:twoCellAnchor>
    <xdr:from>
      <xdr:col>0</xdr:col>
      <xdr:colOff>0</xdr:colOff>
      <xdr:row>105</xdr:row>
      <xdr:rowOff>750</xdr:rowOff>
    </xdr:from>
    <xdr:to>
      <xdr:col>24</xdr:col>
      <xdr:colOff>161925</xdr:colOff>
      <xdr:row>105</xdr:row>
      <xdr:rowOff>750</xdr:rowOff>
    </xdr:to>
    <xdr:sp macro="" textlink="">
      <xdr:nvSpPr>
        <xdr:cNvPr id="7" name="Line 74">
          <a:extLst>
            <a:ext uri="{FF2B5EF4-FFF2-40B4-BE49-F238E27FC236}">
              <a16:creationId xmlns:a16="http://schemas.microsoft.com/office/drawing/2014/main" id="{00000000-0008-0000-0700-000007000000}"/>
            </a:ext>
          </a:extLst>
        </xdr:cNvPr>
        <xdr:cNvSpPr>
          <a:spLocks noChangeShapeType="1"/>
        </xdr:cNvSpPr>
      </xdr:nvSpPr>
      <xdr:spPr bwMode="auto">
        <a:xfrm>
          <a:off x="0" y="10059150"/>
          <a:ext cx="19773900" cy="0"/>
        </a:xfrm>
        <a:prstGeom prst="line">
          <a:avLst/>
        </a:prstGeom>
        <a:noFill/>
        <a:ln w="3175">
          <a:solidFill>
            <a:srgbClr val="993366"/>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esp00\data$\DOCUME~1\mprats.ARG\CONFIG~1\Temp\notesE8F9BA\EJ_00\08\ANEXOS\CR-Agosto.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Worksheet%20in%205310%20Deudores%20pruebas%20Y&amp;R"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JD\2020\PT_ERI%20Consolidado%20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festo\Funciones%20Personal%20Impuestos\Documents%20and%20Settings\cmendozaj\Configuraci&#243;n%20local\Archivos%20temporales%20de%20Internet\OLK115\Documents%20and%20Settings\jpardo\Mis%20documentos\Proyecto%20Corfinsura\Inversi"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5310%20Deudores%20pruebas%20Y&amp;R%20Diciembre%202003"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5635%20Activos%20fijos%20-%20C&#233;dula%20sumaria%20y%20pruebas%20a%20Septiembre%2030%20de%20200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JOPEREZ\My%20Documents\CLIENTES\CIRCULO%20DE%20LECTORES\PRUEBAS%20TERMINADAS\Activos%20fijos%20Detalle.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5640%20Activos%20Fijos%20septiembre"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5302%20Conciliacion%20Intercompany%20-Dic%202002"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orksheet%20in%205311%20Conciliaci&#243;n%20con%20vinculadas%20-Diciembre%20de%202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itan\S_Reuniones\HOME\MESACON\AUXILIAR%20OPERATIVO%20DIVISAS\CONTAB%20MANUALES\Swap%20Fanalca%20revis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mhfw3k03\documentos\Mis%20Documentos%201\USUARIOS\ARCHIVOS\EXCEL\Invergp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is%20Documentos%201\USUARIOS\ARCHIVOS\EXCEL\Invergp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windows\TEMP\PRESU98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Worksheet%20in%208540%20Cuentas%20de%20orden%20-%20Cedula%20sumaria%20y%20prueba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GA\2018\09.SEP2018\EEFF\Archivos%20consolidacion\2018%20-%20Lista%20de%20notas%20trimestrales%20subsidiarias%20v5_3Q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dduque\Documents\PC_NW\dduque\TempLocalXLClient\GRUPO_ARGOS\Consolidaci&#243;nIFRS\eEXCEL\REPORTS\R24-Estado%20de%20Resultados%20consolidad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ebarrios\Documents\PC_NW\ebarrios\TempLocalXLClient\GRUPO_ARGOS\Consolidaci&#243;nIFRS\eEXCEL\R19-Gastos%20administracion%20y%20ven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Summary"/>
      <sheetName val="EXPLICACION VS PPTO"/>
      <sheetName val="EXPLICACION VS D"/>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CARTERA X EDADES (1305)"/>
      <sheetName val="MMA (1305)"/>
      <sheetName val="CTAS CORRIENTES CIALES (1310)"/>
      <sheetName val="VINCULADAS (1320)"/>
      <sheetName val="ANTICIPOS Y AVANCES (1330)"/>
      <sheetName val="ANTICIPO DE INGRESOS (1345)"/>
      <sheetName val="ANTICIPO DE IMPUESTOS (1355)"/>
      <sheetName val="D. VARIOS (1380)"/>
      <sheetName val="PROVISIONES (1399)"/>
      <sheetName val="Tickmarks"/>
      <sheetName val="XREF"/>
      <sheetName val="CxP"/>
      <sheetName val="CXC"/>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ámetros"/>
      <sheetName val="Resumen"/>
      <sheetName val="Var. ING-CAO"/>
      <sheetName val="Var. OEOI"/>
      <sheetName val="Var. FRO"/>
      <sheetName val="Var. IMPTO"/>
      <sheetName val="ERI"/>
      <sheetName val="ERI_Act"/>
      <sheetName val="ERI_Ant"/>
      <sheetName val="ERI Ppto"/>
      <sheetName val="ERI Ppto_BD"/>
      <sheetName val="| IBYS |"/>
      <sheetName val="| IAFR | (A)"/>
      <sheetName val="| IAFR | (B)"/>
      <sheetName val="| INMB | (A)"/>
      <sheetName val="| INMB | (B)"/>
      <sheetName val="| MPP |"/>
      <sheetName val="| DEV |"/>
      <sheetName val="| CAO | (A)"/>
      <sheetName val="| CAO | (B)"/>
      <sheetName val="| GDA | (A)"/>
      <sheetName val="| GDA | (B)"/>
      <sheetName val="| OEGR | (A)"/>
      <sheetName val="| OEGR | (B)"/>
      <sheetName val="| OEGR | (C)"/>
      <sheetName val="| OING | (A)"/>
      <sheetName val="| OING | (B)"/>
      <sheetName val="| OING | (C)"/>
      <sheetName val="| OEOI |"/>
      <sheetName val="| OEOI | (2)"/>
      <sheetName val="OEOI CO02"/>
      <sheetName val="| FRO |"/>
      <sheetName val="| DIFC |"/>
      <sheetName val="| IMPTO | (A)"/>
      <sheetName val="| IMPTO | (B)"/>
      <sheetName val="| PNC |"/>
      <sheetName val="Var. MPP"/>
    </sheetNames>
    <sheetDataSet>
      <sheetData sheetId="0">
        <row r="3">
          <cell r="E3" t="str">
            <v>2020.09</v>
          </cell>
        </row>
        <row r="4">
          <cell r="E4" t="str">
            <v>2019.09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c 1999"/>
      <sheetName val="Total org."/>
      <sheetName val="Por destino"/>
      <sheetName val="Negocio con Corfin."/>
      <sheetName val="Alt. 2"/>
      <sheetName val="Alt. 1"/>
      <sheetName val="Ofreci."/>
      <sheetName val="Hospital"/>
      <sheetName val="Hospital 2"/>
      <sheetName val="Flujo"/>
      <sheetName val="Coltabaco"/>
      <sheetName val="Corfinsura"/>
      <sheetName val="Chocolates"/>
      <sheetName val="Sura"/>
    </sheetNames>
    <sheetDataSet>
      <sheetData sheetId="0">
        <row r="7">
          <cell r="AF7">
            <v>537064634.25182045</v>
          </cell>
        </row>
        <row r="8">
          <cell r="AF8">
            <v>241799904.07949999</v>
          </cell>
        </row>
        <row r="9">
          <cell r="AF9">
            <v>225743747.66940001</v>
          </cell>
        </row>
        <row r="10">
          <cell r="AF10">
            <v>203089101.99944001</v>
          </cell>
        </row>
        <row r="11">
          <cell r="AF11">
            <v>186070040.62151998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
      <sheetName val="Grafico Cartera"/>
      <sheetName val="CARTERA X EDADES "/>
      <sheetName val="PROVISIONES (1399)"/>
      <sheetName val="MMA (1305) Circularizacion"/>
      <sheetName val="Control-circularización cliente"/>
      <sheetName val="CTAS CORRIENTES CIALES (1310)"/>
      <sheetName val="VINCULADAS (1320)"/>
      <sheetName val="ANTICIPOS Y AVANCES (1330)"/>
      <sheetName val="INGRESOS POR COBRAR (1345)"/>
      <sheetName val="ANTICIPO DE IMPUESTOS (1355)"/>
      <sheetName val="D. VARIOS (1380)"/>
      <sheetName val="XREF"/>
      <sheetName val="Tickmarks"/>
      <sheetName val="Control Circularizacion"/>
      <sheetName val="Egresos"/>
      <sheetName val="Cálculo Detallado"/>
      <sheetName val="Worksheet in 5310 Deudores prue"/>
      <sheetName val="MAYO.19-30"/>
      <sheetName val="TR"/>
      <sheetName val="wartości"/>
      <sheetName val="Projet"/>
      <sheetName val="Ingresos"/>
      <sheetName val="Cto de Patrimonio y Capital"/>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Prueba Global Act Fijos"/>
      <sheetName val="Límite de error"/>
      <sheetName val="Tickmarks"/>
      <sheetName val="1"/>
      <sheetName val="Adiciones de AF"/>
      <sheetName val="ANTICIPO DE IMPUESTOS (1355)"/>
      <sheetName val="D. VARIOS (1380)"/>
      <sheetName val="PROVISIONES (1399)"/>
      <sheetName val="XREF"/>
      <sheetName val="(2)Anali. Depr.y Ajus X Inf"/>
      <sheetName val="Egreso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álculo Detallado"/>
      <sheetName val="#REF"/>
      <sheetName val="Avaluos"/>
    </sheetNames>
    <sheetDataSet>
      <sheetData sheetId="0">
        <row r="33">
          <cell r="H33">
            <v>130794.56200000001</v>
          </cell>
        </row>
        <row r="112">
          <cell r="J112">
            <v>27893265</v>
          </cell>
          <cell r="L112">
            <v>-568615321</v>
          </cell>
        </row>
      </sheetData>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Cálculo Global final"/>
      <sheetName val="Tickmarks"/>
      <sheetName val="Límite de error"/>
      <sheetName val="XREF"/>
      <sheetName val="Prueba Global Act Fijos"/>
      <sheetName val="ANTICIPO DE IMPUESTOS (1355)"/>
      <sheetName val="D. VARIOS (1380)"/>
      <sheetName val="PROVISIONES (1399)"/>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dimientos"/>
      <sheetName val="CxP"/>
      <sheetName val="CXC"/>
      <sheetName val="Antiguedad"/>
      <sheetName val="Totales D&amp;TT"/>
      <sheetName val="Jwt-Perú"/>
      <sheetName val="Mind-Peru"/>
      <sheetName val="Mind-Usa"/>
      <sheetName val="Mind-Vnz"/>
      <sheetName val="Jwt-Vnz"/>
      <sheetName val="Ogilviperu"/>
      <sheetName val="Ogilvy-Peru"/>
      <sheetName val="Serv-Portland"/>
      <sheetName val="Ogilvy One"/>
      <sheetName val="MEDIA EDGE"/>
      <sheetName val="JWT COLOMBIA"/>
      <sheetName val="MS USA"/>
      <sheetName val="WOW FACT"/>
      <sheetName val="MS MADRID"/>
      <sheetName val="WOW FACT (2)"/>
      <sheetName val="NORLOP THOMPSON)"/>
      <sheetName val="MSJAPON"/>
      <sheetName val="MSCORPUS"/>
      <sheetName val="MSMEXICO)"/>
      <sheetName val="XREF"/>
      <sheetName val="Prueba Global Act Fijo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dimientos"/>
      <sheetName val="CXC"/>
      <sheetName val="consolidado"/>
      <sheetName val="CxP"/>
      <sheetName val="XREF"/>
      <sheetName val="ANTICIPO DE IMPUESTOS (1355)"/>
      <sheetName val="D. VARIOS (1380)"/>
      <sheetName val="PROVISIONES (1399)"/>
      <sheetName val="Selección "/>
    </sheetNames>
    <sheetDataSet>
      <sheetData sheetId="0" refreshError="1"/>
      <sheetData sheetId="1"/>
      <sheetData sheetId="2" refreshError="1"/>
      <sheetData sheetId="3"/>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oración"/>
      <sheetName val="Libor"/>
      <sheetName val="DTF"/>
      <sheetName val="Hoja1"/>
      <sheetName val="COMPENSACIONES"/>
      <sheetName val="Hoja2"/>
      <sheetName val="ACUMULADOS"/>
      <sheetName val="1. Presentación"/>
      <sheetName val="110000. Portada"/>
      <sheetName val="BASE"/>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menteras"/>
      <sheetName val="0tras"/>
      <sheetName val="Vr.-ARGOS"/>
      <sheetName val="Vr.-CARIBE"/>
      <sheetName val="Vr.-CAIRO"/>
      <sheetName val="Vr.-NARE"/>
      <sheetName val="Vr.-VALLE"/>
      <sheetName val="Vr.-COLCLINKER"/>
      <sheetName val="Vr.-RIOCLARO"/>
      <sheetName val="Vr.-TOLCEMENTO"/>
      <sheetName val="TOTAL GRUPO"/>
      <sheetName val="INVERGPO"/>
      <sheetName val="A JUNIO2000"/>
      <sheetName val="septmbre00"/>
      <sheetName val="DICIEMBRE"/>
      <sheetName val="MARZO-01"/>
      <sheetName val="Junio-01"/>
      <sheetName val="SEP-01"/>
      <sheetName val="DIC-01"/>
      <sheetName val="Mar-02-Actualizar sobre este"/>
      <sheetName val="Jun-02-no actualizar"/>
      <sheetName val="Agosto"/>
      <sheetName val="SEPT. 3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F7">
            <v>540958434.21695995</v>
          </cell>
        </row>
        <row r="8">
          <cell r="AF8">
            <v>241799904.07949999</v>
          </cell>
        </row>
        <row r="9">
          <cell r="AF9">
            <v>225743747.66940001</v>
          </cell>
        </row>
        <row r="10">
          <cell r="AF10">
            <v>203089101.99944001</v>
          </cell>
        </row>
        <row r="11">
          <cell r="AF11">
            <v>186070040.62151998</v>
          </cell>
        </row>
        <row r="24">
          <cell r="B24" t="str">
            <v xml:space="preserve">TOLCEMENTO </v>
          </cell>
          <cell r="F24">
            <v>28483612</v>
          </cell>
          <cell r="G24">
            <v>40843015974</v>
          </cell>
          <cell r="H24">
            <v>71.210000236253222</v>
          </cell>
          <cell r="O24">
            <v>4003686</v>
          </cell>
          <cell r="P24">
            <v>1434940000</v>
          </cell>
          <cell r="Q24">
            <v>10.009351377412518</v>
          </cell>
          <cell r="AA24">
            <v>32487298</v>
          </cell>
          <cell r="AB24">
            <v>42277955974</v>
          </cell>
          <cell r="AC24">
            <v>81.219351613665737</v>
          </cell>
          <cell r="AD24">
            <v>39999455</v>
          </cell>
          <cell r="AE24">
            <v>2547.0800000014042</v>
          </cell>
          <cell r="AF24">
            <v>82747746.989885613</v>
          </cell>
        </row>
        <row r="25">
          <cell r="B25" t="str">
            <v>CORPORACIÓN DE CEMENTO ANDINO S.A.</v>
          </cell>
          <cell r="F25">
            <v>33423008</v>
          </cell>
          <cell r="G25">
            <v>41533003144</v>
          </cell>
          <cell r="H25">
            <v>80</v>
          </cell>
          <cell r="AA25">
            <v>33423008</v>
          </cell>
          <cell r="AB25">
            <v>41533003144</v>
          </cell>
          <cell r="AC25">
            <v>80</v>
          </cell>
          <cell r="AD25">
            <v>41778760</v>
          </cell>
          <cell r="AE25">
            <v>2186.3829001676922</v>
          </cell>
          <cell r="AF25">
            <v>73075493.163367987</v>
          </cell>
        </row>
        <row r="26">
          <cell r="B26" t="str">
            <v>VALLE CEMENT INVESTMENT</v>
          </cell>
          <cell r="O26">
            <v>1</v>
          </cell>
          <cell r="P26">
            <v>43636630000</v>
          </cell>
          <cell r="Q26">
            <v>100</v>
          </cell>
          <cell r="AA26">
            <v>1</v>
          </cell>
          <cell r="AB26">
            <v>43636630000</v>
          </cell>
          <cell r="AC26">
            <v>100</v>
          </cell>
          <cell r="AD26">
            <v>1</v>
          </cell>
          <cell r="AE26">
            <v>66223912</v>
          </cell>
          <cell r="AF26">
            <v>66223912</v>
          </cell>
        </row>
        <row r="27">
          <cell r="B27" t="str">
            <v>BANCOLOMBIA S.A.</v>
          </cell>
          <cell r="C27">
            <v>24375687</v>
          </cell>
          <cell r="D27">
            <v>7433119936</v>
          </cell>
          <cell r="E27">
            <v>7.1894310820651537</v>
          </cell>
          <cell r="L27">
            <v>752657</v>
          </cell>
          <cell r="M27">
            <v>3401144920</v>
          </cell>
          <cell r="N27">
            <v>0.22199069219808709</v>
          </cell>
          <cell r="O27">
            <v>29658125</v>
          </cell>
          <cell r="P27">
            <v>32736470000</v>
          </cell>
          <cell r="Q27">
            <v>8.7474476395587786</v>
          </cell>
          <cell r="AA27">
            <v>54786469</v>
          </cell>
          <cell r="AB27">
            <v>43570734856</v>
          </cell>
          <cell r="AC27">
            <v>16.158869413822018</v>
          </cell>
          <cell r="AD27">
            <v>339048900</v>
          </cell>
          <cell r="AE27">
            <v>1057.42</v>
          </cell>
          <cell r="AF27">
            <v>57932308.04998</v>
          </cell>
        </row>
        <row r="28">
          <cell r="B28" t="str">
            <v>C O N A V I</v>
          </cell>
          <cell r="C28">
            <v>305333930</v>
          </cell>
          <cell r="D28">
            <v>479649994</v>
          </cell>
          <cell r="E28">
            <v>7.5418959326300925</v>
          </cell>
          <cell r="I28">
            <v>210117338</v>
          </cell>
          <cell r="J28">
            <v>31793089535</v>
          </cell>
          <cell r="K28">
            <v>5.1900000004495492</v>
          </cell>
          <cell r="AA28">
            <v>515451268</v>
          </cell>
          <cell r="AB28">
            <v>32272739529</v>
          </cell>
          <cell r="AC28">
            <v>12.731895933079642</v>
          </cell>
          <cell r="AD28">
            <v>4048503622</v>
          </cell>
          <cell r="AE28">
            <v>100</v>
          </cell>
          <cell r="AF28">
            <v>51545126.799999997</v>
          </cell>
        </row>
        <row r="29">
          <cell r="B29" t="str">
            <v>CIA. NACIONAL DE CHOCOLATES S.A.</v>
          </cell>
          <cell r="C29">
            <v>3198802</v>
          </cell>
          <cell r="D29">
            <v>2880329910</v>
          </cell>
          <cell r="E29">
            <v>3.6912681898527393</v>
          </cell>
          <cell r="I29">
            <v>289263</v>
          </cell>
          <cell r="J29">
            <v>468255551</v>
          </cell>
          <cell r="K29">
            <v>0.33379599937769605</v>
          </cell>
          <cell r="L29">
            <v>710202</v>
          </cell>
          <cell r="M29">
            <v>4758353400</v>
          </cell>
          <cell r="N29">
            <v>0.81953995619916298</v>
          </cell>
          <cell r="O29">
            <v>1851296</v>
          </cell>
          <cell r="P29">
            <v>1773730000</v>
          </cell>
          <cell r="Q29">
            <v>2.1363091666197582</v>
          </cell>
          <cell r="AA29">
            <v>6049563</v>
          </cell>
          <cell r="AB29">
            <v>9880668861</v>
          </cell>
          <cell r="AC29">
            <v>6.9809133120493563</v>
          </cell>
          <cell r="AD29">
            <v>86658618</v>
          </cell>
          <cell r="AE29">
            <v>7063.02</v>
          </cell>
          <cell r="AF29">
            <v>42728184.460260004</v>
          </cell>
        </row>
        <row r="30">
          <cell r="B30" t="str">
            <v>CEMENTOS PAZ DEL RIO S.A.</v>
          </cell>
          <cell r="C30">
            <v>24124594</v>
          </cell>
          <cell r="D30">
            <v>18565624578</v>
          </cell>
          <cell r="E30">
            <v>20.103828333333336</v>
          </cell>
          <cell r="F30">
            <v>218564</v>
          </cell>
          <cell r="G30">
            <v>44961296</v>
          </cell>
          <cell r="H30">
            <v>0.18213666666666667</v>
          </cell>
          <cell r="I30">
            <v>2985397</v>
          </cell>
          <cell r="J30">
            <v>1860367965</v>
          </cell>
          <cell r="K30">
            <v>2.4878308333333337</v>
          </cell>
          <cell r="L30">
            <v>2909476</v>
          </cell>
          <cell r="M30">
            <v>1630130277</v>
          </cell>
          <cell r="N30">
            <v>2.4245633333333334</v>
          </cell>
          <cell r="O30">
            <v>1320993</v>
          </cell>
          <cell r="P30">
            <v>2132920000</v>
          </cell>
          <cell r="Q30">
            <v>1.1008275000000001</v>
          </cell>
          <cell r="R30">
            <v>3000000</v>
          </cell>
          <cell r="T30">
            <v>2.5</v>
          </cell>
          <cell r="U30">
            <v>5137782</v>
          </cell>
          <cell r="V30">
            <v>1121118400</v>
          </cell>
          <cell r="W30">
            <v>4.281485</v>
          </cell>
          <cell r="AA30">
            <v>39696806</v>
          </cell>
          <cell r="AB30">
            <v>25355122516</v>
          </cell>
          <cell r="AC30">
            <v>33.080671666666674</v>
          </cell>
          <cell r="AD30">
            <v>120000000</v>
          </cell>
          <cell r="AE30">
            <v>839.48</v>
          </cell>
          <cell r="AF30">
            <v>33324674.700880002</v>
          </cell>
        </row>
        <row r="31">
          <cell r="B31" t="str">
            <v>COLCARIBE HOLDING</v>
          </cell>
          <cell r="F31">
            <v>85000</v>
          </cell>
          <cell r="G31">
            <v>72963466168</v>
          </cell>
          <cell r="H31">
            <v>29.310344827586203</v>
          </cell>
          <cell r="R31">
            <v>75000</v>
          </cell>
          <cell r="S31">
            <v>7780750000</v>
          </cell>
          <cell r="T31">
            <v>25.862068965517242</v>
          </cell>
          <cell r="AA31">
            <v>160000</v>
          </cell>
          <cell r="AB31">
            <v>80744216168</v>
          </cell>
          <cell r="AC31">
            <v>55.172413793103445</v>
          </cell>
          <cell r="AD31">
            <v>290000</v>
          </cell>
          <cell r="AE31">
            <v>181479.67095294117</v>
          </cell>
          <cell r="AF31">
            <v>29036747.352470588</v>
          </cell>
        </row>
        <row r="32">
          <cell r="B32" t="str">
            <v>CIA. COMERCIAL. FABRICATO y TEJICONDOR</v>
          </cell>
          <cell r="C32">
            <v>963662</v>
          </cell>
          <cell r="E32">
            <v>13.217396409011226</v>
          </cell>
          <cell r="O32">
            <v>1029659</v>
          </cell>
          <cell r="Q32">
            <v>14.122598140329378</v>
          </cell>
          <cell r="AA32">
            <v>1993321</v>
          </cell>
          <cell r="AB32">
            <v>0</v>
          </cell>
          <cell r="AC32">
            <v>27.339994549340602</v>
          </cell>
          <cell r="AD32">
            <v>7290861</v>
          </cell>
          <cell r="AE32">
            <v>13622.23</v>
          </cell>
          <cell r="AF32">
            <v>27153477.125829998</v>
          </cell>
        </row>
        <row r="33">
          <cell r="B33" t="str">
            <v>C.I. FABRICATO y TEJICONDOR</v>
          </cell>
          <cell r="C33">
            <v>963663</v>
          </cell>
          <cell r="E33">
            <v>13.675742881621023</v>
          </cell>
          <cell r="O33">
            <v>1029661</v>
          </cell>
          <cell r="Q33">
            <v>14.612347979773826</v>
          </cell>
          <cell r="AA33">
            <v>1993324</v>
          </cell>
          <cell r="AB33">
            <v>0</v>
          </cell>
          <cell r="AC33">
            <v>28.288090861394849</v>
          </cell>
          <cell r="AD33">
            <v>7046513</v>
          </cell>
          <cell r="AE33">
            <v>13164.59</v>
          </cell>
          <cell r="AF33">
            <v>26241293.197159998</v>
          </cell>
        </row>
        <row r="34">
          <cell r="B34" t="str">
            <v>CARBONES DEL CARIBE S.A.</v>
          </cell>
          <cell r="C34">
            <v>260000</v>
          </cell>
          <cell r="D34">
            <v>32613768972</v>
          </cell>
          <cell r="E34">
            <v>3.4666666666666663</v>
          </cell>
          <cell r="F34">
            <v>3670000</v>
          </cell>
          <cell r="G34">
            <v>21864849123</v>
          </cell>
          <cell r="H34">
            <v>48.933333333333337</v>
          </cell>
          <cell r="I34">
            <v>325000</v>
          </cell>
          <cell r="J34">
            <v>3549836130</v>
          </cell>
          <cell r="K34">
            <v>4.3333333333333339</v>
          </cell>
          <cell r="L34">
            <v>28887</v>
          </cell>
          <cell r="M34">
            <v>331908587</v>
          </cell>
          <cell r="N34">
            <v>0.38516</v>
          </cell>
          <cell r="O34">
            <v>258580</v>
          </cell>
          <cell r="P34">
            <v>4614990000</v>
          </cell>
          <cell r="Q34">
            <v>3.4477333333333333</v>
          </cell>
          <cell r="X34">
            <v>0</v>
          </cell>
          <cell r="AA34">
            <v>4542467</v>
          </cell>
          <cell r="AB34">
            <v>62975352812</v>
          </cell>
          <cell r="AC34">
            <v>60.566226666666672</v>
          </cell>
          <cell r="AD34">
            <v>7500000</v>
          </cell>
          <cell r="AE34">
            <v>4989.3</v>
          </cell>
          <cell r="AF34">
            <v>22663730.603100002</v>
          </cell>
        </row>
        <row r="35">
          <cell r="B35" t="str">
            <v>CARTON DE COLOMBIA S.A.</v>
          </cell>
          <cell r="I35">
            <v>1279159</v>
          </cell>
          <cell r="J35">
            <v>1738991498</v>
          </cell>
          <cell r="K35">
            <v>1.1683509486547461</v>
          </cell>
          <cell r="O35">
            <v>2380225</v>
          </cell>
          <cell r="P35">
            <v>3043010000</v>
          </cell>
          <cell r="Q35">
            <v>2.174036329152</v>
          </cell>
          <cell r="AA35">
            <v>3659384</v>
          </cell>
          <cell r="AB35">
            <v>4782001498</v>
          </cell>
          <cell r="AC35">
            <v>3.342387277806746</v>
          </cell>
          <cell r="AD35">
            <v>109484141</v>
          </cell>
          <cell r="AE35">
            <v>5310.02</v>
          </cell>
          <cell r="AF35">
            <v>19431402.227680001</v>
          </cell>
        </row>
        <row r="36">
          <cell r="B36" t="str">
            <v>LA CEMENTO NACIONAL C.A. (ECUADOR)</v>
          </cell>
          <cell r="C36">
            <v>24105</v>
          </cell>
          <cell r="D36">
            <v>6437167036</v>
          </cell>
          <cell r="E36">
            <v>1.7583583111882066</v>
          </cell>
          <cell r="O36">
            <v>21186</v>
          </cell>
          <cell r="P36">
            <v>7878220000</v>
          </cell>
          <cell r="Q36">
            <v>1.545429544942267</v>
          </cell>
          <cell r="AA36">
            <v>45291</v>
          </cell>
          <cell r="AB36">
            <v>14315387036</v>
          </cell>
          <cell r="AC36">
            <v>3.3037878561304739</v>
          </cell>
          <cell r="AD36">
            <v>1370881</v>
          </cell>
          <cell r="AE36">
            <v>419112.09105994605</v>
          </cell>
          <cell r="AF36">
            <v>18982005.716196019</v>
          </cell>
        </row>
        <row r="37">
          <cell r="B37" t="str">
            <v>CONCRETOS DEL CAUCA LTDA</v>
          </cell>
          <cell r="C37">
            <v>105323</v>
          </cell>
          <cell r="D37">
            <v>724440000</v>
          </cell>
          <cell r="E37">
            <v>10.019034863003208</v>
          </cell>
          <cell r="O37">
            <v>915434</v>
          </cell>
          <cell r="P37">
            <v>11142810000</v>
          </cell>
          <cell r="Q37">
            <v>87.082262761015912</v>
          </cell>
          <cell r="AA37">
            <v>1020757</v>
          </cell>
          <cell r="AB37">
            <v>11867250000</v>
          </cell>
          <cell r="AC37">
            <v>97.101297624019125</v>
          </cell>
          <cell r="AD37">
            <v>1051229</v>
          </cell>
          <cell r="AE37">
            <v>16483.587257467581</v>
          </cell>
          <cell r="AF37">
            <v>16825737.078170836</v>
          </cell>
        </row>
        <row r="38">
          <cell r="B38" t="str">
            <v>CIA. DE CEMENTO ARGOS S.A.</v>
          </cell>
          <cell r="R38">
            <v>3244408</v>
          </cell>
          <cell r="S38">
            <v>1166591173</v>
          </cell>
          <cell r="T38">
            <v>1.9931782408086598</v>
          </cell>
          <cell r="AA38">
            <v>3244408</v>
          </cell>
          <cell r="AB38">
            <v>1166591173</v>
          </cell>
          <cell r="AC38">
            <v>1.9931782408086598</v>
          </cell>
          <cell r="AD38">
            <v>162775608</v>
          </cell>
          <cell r="AE38">
            <v>4802</v>
          </cell>
          <cell r="AF38">
            <v>15579647.216</v>
          </cell>
        </row>
        <row r="39">
          <cell r="B39" t="str">
            <v>CORP. FINANCIERA DEL VALLE S.A.</v>
          </cell>
          <cell r="O39">
            <v>1814087</v>
          </cell>
          <cell r="P39">
            <v>8623990000</v>
          </cell>
          <cell r="Q39">
            <v>2.9636519314936516</v>
          </cell>
          <cell r="AA39">
            <v>1814087</v>
          </cell>
          <cell r="AB39">
            <v>8623990000</v>
          </cell>
          <cell r="AC39">
            <v>2.9636519314936516</v>
          </cell>
          <cell r="AD39">
            <v>61211203</v>
          </cell>
          <cell r="AE39">
            <v>6680.3</v>
          </cell>
          <cell r="AF39">
            <v>12118645.3861</v>
          </cell>
        </row>
        <row r="40">
          <cell r="B40" t="str">
            <v>COMERCIALIZA. INT. DEL MAR CARIBE S.A.</v>
          </cell>
          <cell r="F40">
            <v>949750</v>
          </cell>
          <cell r="G40">
            <v>3192682230</v>
          </cell>
          <cell r="H40">
            <v>37.99</v>
          </cell>
          <cell r="R40">
            <v>949750</v>
          </cell>
          <cell r="S40">
            <v>3852758412</v>
          </cell>
          <cell r="T40">
            <v>37.99</v>
          </cell>
          <cell r="X40">
            <v>250000</v>
          </cell>
          <cell r="Z40">
            <v>10</v>
          </cell>
          <cell r="AA40">
            <v>2149500</v>
          </cell>
          <cell r="AB40">
            <v>7045440642</v>
          </cell>
          <cell r="AC40">
            <v>85.98</v>
          </cell>
          <cell r="AD40">
            <v>2500000</v>
          </cell>
          <cell r="AE40">
            <v>5311.32</v>
          </cell>
          <cell r="AF40">
            <v>11416682.34</v>
          </cell>
        </row>
        <row r="41">
          <cell r="B41" t="str">
            <v>CORFINSURA</v>
          </cell>
          <cell r="C41">
            <v>4108220</v>
          </cell>
          <cell r="D41">
            <v>7716777019</v>
          </cell>
          <cell r="E41">
            <v>3.1700388541225699</v>
          </cell>
          <cell r="F41">
            <v>1082537</v>
          </cell>
          <cell r="G41">
            <v>632377707</v>
          </cell>
          <cell r="H41">
            <v>0.83532146550702857</v>
          </cell>
          <cell r="I41">
            <v>2866396</v>
          </cell>
          <cell r="J41">
            <v>4465347340</v>
          </cell>
          <cell r="K41">
            <v>2.2118062546069877</v>
          </cell>
          <cell r="O41">
            <v>1276092</v>
          </cell>
          <cell r="P41">
            <v>1701420000</v>
          </cell>
          <cell r="Q41">
            <v>0.98467492525594513</v>
          </cell>
          <cell r="AA41">
            <v>9333245</v>
          </cell>
          <cell r="AB41">
            <v>14515922066</v>
          </cell>
          <cell r="AC41">
            <v>7.2018414994925308</v>
          </cell>
          <cell r="AD41">
            <v>129595257</v>
          </cell>
          <cell r="AE41">
            <v>1126.94</v>
          </cell>
          <cell r="AF41">
            <v>10518007.120300001</v>
          </cell>
        </row>
        <row r="42">
          <cell r="B42" t="str">
            <v>CÍA. DE INVERSIONES LA MERCED S.A.</v>
          </cell>
          <cell r="C42">
            <v>39620</v>
          </cell>
          <cell r="D42">
            <v>102016726</v>
          </cell>
          <cell r="E42">
            <v>33.016666666666666</v>
          </cell>
          <cell r="AA42">
            <v>39620</v>
          </cell>
          <cell r="AB42">
            <v>102016726</v>
          </cell>
          <cell r="AC42">
            <v>33.016666666666666</v>
          </cell>
          <cell r="AD42">
            <v>120000</v>
          </cell>
          <cell r="AE42">
            <v>252259.59</v>
          </cell>
          <cell r="AF42">
            <v>9994524.9557999987</v>
          </cell>
        </row>
        <row r="43">
          <cell r="B43" t="str">
            <v>ENKA DE COLOMBIA S.A.</v>
          </cell>
          <cell r="O43">
            <v>107921200</v>
          </cell>
          <cell r="P43">
            <v>1226170000</v>
          </cell>
          <cell r="Q43">
            <v>2.4589252160488333</v>
          </cell>
          <cell r="AA43">
            <v>107921200</v>
          </cell>
          <cell r="AB43">
            <v>1226170000</v>
          </cell>
          <cell r="AC43">
            <v>2.4589252160488333</v>
          </cell>
          <cell r="AD43">
            <v>4388958204</v>
          </cell>
          <cell r="AE43">
            <v>85.98</v>
          </cell>
          <cell r="AF43">
            <v>9279064.7760000005</v>
          </cell>
        </row>
        <row r="44">
          <cell r="B44" t="str">
            <v>CIA. COLOMBIANA DE TABACO S.A.</v>
          </cell>
          <cell r="C44">
            <v>1155559</v>
          </cell>
          <cell r="D44">
            <v>251329615</v>
          </cell>
          <cell r="E44">
            <v>1.8186324434355892</v>
          </cell>
          <cell r="L44">
            <v>184636</v>
          </cell>
          <cell r="M44">
            <v>592681560</v>
          </cell>
          <cell r="N44">
            <v>0.29058232407533791</v>
          </cell>
          <cell r="O44">
            <v>1786002</v>
          </cell>
          <cell r="P44">
            <v>3267150000</v>
          </cell>
          <cell r="Q44">
            <v>2.8108311053272477</v>
          </cell>
          <cell r="AA44">
            <v>3126197</v>
          </cell>
          <cell r="AB44">
            <v>4111161175</v>
          </cell>
          <cell r="AC44">
            <v>4.9200458728381751</v>
          </cell>
          <cell r="AD44">
            <v>63539997</v>
          </cell>
          <cell r="AE44">
            <v>2537.06</v>
          </cell>
          <cell r="AF44">
            <v>7931349.3608200001</v>
          </cell>
        </row>
        <row r="45">
          <cell r="B45" t="str">
            <v>CONCRETOS DE OCCIDENTE LTDA</v>
          </cell>
          <cell r="C45">
            <v>200550</v>
          </cell>
          <cell r="D45">
            <v>329897838</v>
          </cell>
          <cell r="E45">
            <v>10</v>
          </cell>
          <cell r="O45">
            <v>802200</v>
          </cell>
          <cell r="P45">
            <v>1423550000</v>
          </cell>
          <cell r="Q45">
            <v>40</v>
          </cell>
          <cell r="AA45">
            <v>1002750</v>
          </cell>
          <cell r="AB45">
            <v>1753447838</v>
          </cell>
          <cell r="AC45">
            <v>50</v>
          </cell>
          <cell r="AD45">
            <v>2005500</v>
          </cell>
          <cell r="AE45">
            <v>7714.918972824732</v>
          </cell>
          <cell r="AF45">
            <v>7736135</v>
          </cell>
        </row>
        <row r="46">
          <cell r="B46" t="str">
            <v>CANTERAS  y  DERIVADOS S.A.</v>
          </cell>
          <cell r="C46">
            <v>30000</v>
          </cell>
          <cell r="D46">
            <v>10760552443</v>
          </cell>
          <cell r="E46">
            <v>50</v>
          </cell>
          <cell r="AA46">
            <v>30000</v>
          </cell>
          <cell r="AB46">
            <v>10760552443</v>
          </cell>
          <cell r="AC46">
            <v>50</v>
          </cell>
          <cell r="AD46">
            <v>60000</v>
          </cell>
          <cell r="AE46">
            <v>213442.58</v>
          </cell>
          <cell r="AF46">
            <v>6403277.4000000004</v>
          </cell>
        </row>
        <row r="47">
          <cell r="B47" t="str">
            <v>PROMOTORA DE HOTELES  MEDELLÍN S.A.</v>
          </cell>
          <cell r="C47">
            <v>4219382</v>
          </cell>
          <cell r="D47">
            <v>556743886</v>
          </cell>
          <cell r="E47">
            <v>20.852246422278125</v>
          </cell>
          <cell r="AA47">
            <v>4219382</v>
          </cell>
          <cell r="AB47">
            <v>556743886</v>
          </cell>
          <cell r="AC47">
            <v>20.852246422278125</v>
          </cell>
          <cell r="AD47">
            <v>20234664</v>
          </cell>
          <cell r="AE47">
            <v>1504.67</v>
          </cell>
          <cell r="AF47">
            <v>6348777.5139400009</v>
          </cell>
        </row>
        <row r="48">
          <cell r="B48" t="str">
            <v xml:space="preserve">METROCONCRETO </v>
          </cell>
          <cell r="I48">
            <v>10257</v>
          </cell>
          <cell r="J48">
            <v>76207504</v>
          </cell>
          <cell r="K48">
            <v>0.54732986589697907</v>
          </cell>
          <cell r="L48">
            <v>129838</v>
          </cell>
          <cell r="M48">
            <v>27234743</v>
          </cell>
          <cell r="N48">
            <v>6.9283625941632021</v>
          </cell>
          <cell r="U48">
            <v>824938</v>
          </cell>
          <cell r="V48">
            <v>3991621711</v>
          </cell>
          <cell r="W48">
            <v>44.020006328685007</v>
          </cell>
          <cell r="AA48">
            <v>965033</v>
          </cell>
          <cell r="AB48">
            <v>4095063958</v>
          </cell>
          <cell r="AC48">
            <v>51.495698788745187</v>
          </cell>
          <cell r="AD48">
            <v>1874007</v>
          </cell>
          <cell r="AE48">
            <v>6392.786199288902</v>
          </cell>
          <cell r="AF48">
            <v>6169249.6442583669</v>
          </cell>
        </row>
        <row r="49">
          <cell r="B49" t="str">
            <v>HOTEL DE PEREIRA S.A.</v>
          </cell>
          <cell r="C49">
            <v>2266468</v>
          </cell>
          <cell r="D49">
            <v>1853807379</v>
          </cell>
          <cell r="E49">
            <v>31.708924610879901</v>
          </cell>
          <cell r="AA49">
            <v>2266468</v>
          </cell>
          <cell r="AB49">
            <v>1853807379</v>
          </cell>
          <cell r="AC49">
            <v>31.708924610879901</v>
          </cell>
          <cell r="AD49">
            <v>7147729</v>
          </cell>
          <cell r="AE49">
            <v>2444.9</v>
          </cell>
          <cell r="AF49">
            <v>5541287.6131999996</v>
          </cell>
        </row>
        <row r="50">
          <cell r="B50" t="str">
            <v>TEMPO LTDA</v>
          </cell>
          <cell r="L50">
            <v>200</v>
          </cell>
          <cell r="M50">
            <v>14671159</v>
          </cell>
          <cell r="N50">
            <v>20</v>
          </cell>
          <cell r="O50">
            <v>400</v>
          </cell>
          <cell r="P50">
            <v>1716470000</v>
          </cell>
          <cell r="Q50">
            <v>40</v>
          </cell>
          <cell r="AA50">
            <v>600</v>
          </cell>
          <cell r="AB50">
            <v>1731141159</v>
          </cell>
          <cell r="AC50">
            <v>60</v>
          </cell>
          <cell r="AD50">
            <v>1000</v>
          </cell>
          <cell r="AE50">
            <v>7584495</v>
          </cell>
          <cell r="AF50">
            <v>4550697</v>
          </cell>
        </row>
        <row r="51">
          <cell r="B51" t="str">
            <v>TLC  INTERNATIONAL  LDC</v>
          </cell>
          <cell r="C51">
            <v>1</v>
          </cell>
          <cell r="D51">
            <v>2853387050</v>
          </cell>
          <cell r="E51">
            <v>5</v>
          </cell>
          <cell r="AA51">
            <v>1</v>
          </cell>
          <cell r="AB51">
            <v>2853387050</v>
          </cell>
          <cell r="AC51">
            <v>5</v>
          </cell>
          <cell r="AD51">
            <v>20</v>
          </cell>
          <cell r="AE51">
            <v>4379872.1679999996</v>
          </cell>
          <cell r="AF51">
            <v>4379872.1679999996</v>
          </cell>
        </row>
        <row r="52">
          <cell r="B52" t="str">
            <v>C O L O M B A T E S</v>
          </cell>
          <cell r="C52">
            <v>2402</v>
          </cell>
          <cell r="D52">
            <v>16230042</v>
          </cell>
          <cell r="E52">
            <v>4.3987034629259982</v>
          </cell>
          <cell r="F52">
            <v>75</v>
          </cell>
          <cell r="G52">
            <v>602525</v>
          </cell>
          <cell r="H52">
            <v>0.13734502902558282</v>
          </cell>
          <cell r="I52">
            <v>24</v>
          </cell>
          <cell r="J52">
            <v>166043</v>
          </cell>
          <cell r="K52">
            <v>4.3950409288186498E-2</v>
          </cell>
          <cell r="L52">
            <v>246</v>
          </cell>
          <cell r="M52">
            <v>138990507</v>
          </cell>
          <cell r="N52">
            <v>0.45049169520391164</v>
          </cell>
          <cell r="O52">
            <v>3126</v>
          </cell>
          <cell r="P52">
            <v>25540000</v>
          </cell>
          <cell r="Q52">
            <v>5.7245408097862907</v>
          </cell>
          <cell r="X52">
            <v>32</v>
          </cell>
          <cell r="Z52">
            <v>5.8600545717581998E-2</v>
          </cell>
          <cell r="AA52">
            <v>5905</v>
          </cell>
          <cell r="AB52">
            <v>181529117</v>
          </cell>
          <cell r="AC52">
            <v>10.813631951947551</v>
          </cell>
          <cell r="AD52">
            <v>54607</v>
          </cell>
          <cell r="AE52">
            <v>695775.03</v>
          </cell>
          <cell r="AF52">
            <v>4108551.5521499999</v>
          </cell>
        </row>
        <row r="53">
          <cell r="B53" t="str">
            <v>COLOIDALES S.A.</v>
          </cell>
          <cell r="I53">
            <v>215928</v>
          </cell>
          <cell r="J53">
            <v>3371482590</v>
          </cell>
          <cell r="K53">
            <v>24.209997578192972</v>
          </cell>
          <cell r="L53">
            <v>18804</v>
          </cell>
          <cell r="M53">
            <v>226100000</v>
          </cell>
          <cell r="N53">
            <v>2.1083175616888066</v>
          </cell>
          <cell r="O53">
            <v>222258</v>
          </cell>
          <cell r="P53">
            <v>4309430000</v>
          </cell>
          <cell r="Q53">
            <v>24.919721581888471</v>
          </cell>
          <cell r="AA53">
            <v>456990</v>
          </cell>
          <cell r="AB53">
            <v>7907012590</v>
          </cell>
          <cell r="AC53">
            <v>51.23803672177025</v>
          </cell>
          <cell r="AD53">
            <v>891896</v>
          </cell>
          <cell r="AE53">
            <v>8488</v>
          </cell>
          <cell r="AF53">
            <v>3878931.12</v>
          </cell>
        </row>
        <row r="54">
          <cell r="B54" t="str">
            <v>INDUSTRIAS ALIMENTICIAS NOEL S.A.</v>
          </cell>
          <cell r="O54">
            <v>1004366</v>
          </cell>
          <cell r="P54">
            <v>2481850000</v>
          </cell>
          <cell r="Q54">
            <v>1.6833366322976595</v>
          </cell>
          <cell r="AA54">
            <v>1004366</v>
          </cell>
          <cell r="AB54">
            <v>2481850000</v>
          </cell>
          <cell r="AC54">
            <v>1.6833366322976595</v>
          </cell>
          <cell r="AD54">
            <v>59665190</v>
          </cell>
          <cell r="AE54">
            <v>3750</v>
          </cell>
          <cell r="AF54">
            <v>3766372.5</v>
          </cell>
        </row>
        <row r="55">
          <cell r="B55" t="str">
            <v xml:space="preserve">SETAS COLOMBIANAS S.A. </v>
          </cell>
          <cell r="C55">
            <v>41418101</v>
          </cell>
          <cell r="D55">
            <v>3747266152</v>
          </cell>
          <cell r="E55">
            <v>16.139607993499936</v>
          </cell>
          <cell r="O55">
            <v>4743825</v>
          </cell>
          <cell r="P55">
            <v>1520280000</v>
          </cell>
          <cell r="Q55">
            <v>1.8485510933918683</v>
          </cell>
          <cell r="AA55">
            <v>46161926</v>
          </cell>
          <cell r="AB55">
            <v>5267546152</v>
          </cell>
          <cell r="AC55">
            <v>17.988159086891805</v>
          </cell>
          <cell r="AD55">
            <v>256623959</v>
          </cell>
          <cell r="AE55">
            <v>75.209999999999994</v>
          </cell>
          <cell r="AF55">
            <v>3471838.4544599997</v>
          </cell>
        </row>
        <row r="56">
          <cell r="B56" t="str">
            <v>D I C E N T E  LTDA.</v>
          </cell>
          <cell r="I56">
            <v>400</v>
          </cell>
          <cell r="J56">
            <v>90111376</v>
          </cell>
          <cell r="K56">
            <v>40</v>
          </cell>
          <cell r="L56">
            <v>100</v>
          </cell>
          <cell r="M56">
            <v>22060178</v>
          </cell>
          <cell r="N56">
            <v>10</v>
          </cell>
          <cell r="O56">
            <v>400</v>
          </cell>
          <cell r="P56">
            <v>92920000</v>
          </cell>
          <cell r="Q56">
            <v>40</v>
          </cell>
          <cell r="AA56">
            <v>900</v>
          </cell>
          <cell r="AB56">
            <v>205091554</v>
          </cell>
          <cell r="AC56">
            <v>90</v>
          </cell>
          <cell r="AD56">
            <v>1000</v>
          </cell>
          <cell r="AE56">
            <v>3744716</v>
          </cell>
          <cell r="AF56">
            <v>3370244.4</v>
          </cell>
        </row>
        <row r="57">
          <cell r="B57" t="str">
            <v>OCCIDENTAL DE EMPAQUES  S.A.</v>
          </cell>
          <cell r="C57">
            <v>1075500</v>
          </cell>
          <cell r="D57">
            <v>134612672</v>
          </cell>
          <cell r="E57">
            <v>49.791666666666664</v>
          </cell>
          <cell r="I57">
            <v>2250</v>
          </cell>
          <cell r="J57">
            <v>2222598</v>
          </cell>
          <cell r="K57">
            <v>0.10416666666666667</v>
          </cell>
          <cell r="L57">
            <v>2250</v>
          </cell>
          <cell r="M57">
            <v>3019520</v>
          </cell>
          <cell r="N57">
            <v>0.10416666666666667</v>
          </cell>
          <cell r="AA57">
            <v>1080000</v>
          </cell>
          <cell r="AB57">
            <v>139854790</v>
          </cell>
          <cell r="AC57">
            <v>49.999999999999993</v>
          </cell>
          <cell r="AD57">
            <v>2160000</v>
          </cell>
          <cell r="AE57">
            <v>2820.56</v>
          </cell>
          <cell r="AF57">
            <v>3046204.8</v>
          </cell>
        </row>
        <row r="58">
          <cell r="B58" t="str">
            <v>PROYECTO ENERGÉTICO DEL CAUCA S.A..</v>
          </cell>
          <cell r="O58">
            <v>20776</v>
          </cell>
          <cell r="Q58">
            <v>2.0775999999999999</v>
          </cell>
          <cell r="AA58">
            <v>20776</v>
          </cell>
          <cell r="AB58">
            <v>0</v>
          </cell>
          <cell r="AC58">
            <v>2.0775999999999999</v>
          </cell>
          <cell r="AD58">
            <v>1000000</v>
          </cell>
          <cell r="AE58">
            <v>144397.3815941471</v>
          </cell>
          <cell r="AF58">
            <v>3000000</v>
          </cell>
        </row>
        <row r="59">
          <cell r="B59" t="str">
            <v>ETERNIT PACIFICO  S.A.</v>
          </cell>
          <cell r="C59">
            <v>806313</v>
          </cell>
          <cell r="D59">
            <v>1099479189</v>
          </cell>
          <cell r="E59">
            <v>15.976949020622671</v>
          </cell>
          <cell r="AA59">
            <v>806313</v>
          </cell>
          <cell r="AB59">
            <v>1099479189</v>
          </cell>
          <cell r="AC59">
            <v>15.976949020622671</v>
          </cell>
          <cell r="AD59">
            <v>5046727</v>
          </cell>
          <cell r="AE59">
            <v>3701.07</v>
          </cell>
          <cell r="AF59">
            <v>2984220.8549100002</v>
          </cell>
        </row>
        <row r="60">
          <cell r="B60" t="str">
            <v>REFORESTADORA EL GUASIMO</v>
          </cell>
          <cell r="C60">
            <v>21433751</v>
          </cell>
          <cell r="D60">
            <v>225279169</v>
          </cell>
          <cell r="E60">
            <v>7.5756098579926006</v>
          </cell>
          <cell r="K60">
            <v>0</v>
          </cell>
          <cell r="L60">
            <v>1761591</v>
          </cell>
          <cell r="M60">
            <v>4615047</v>
          </cell>
          <cell r="N60">
            <v>0.62262205739681498</v>
          </cell>
          <cell r="AA60">
            <v>23195342</v>
          </cell>
          <cell r="AB60">
            <v>229894216</v>
          </cell>
          <cell r="AC60">
            <v>8.1982319153894156</v>
          </cell>
          <cell r="AD60">
            <v>282931030</v>
          </cell>
          <cell r="AE60">
            <v>118.37</v>
          </cell>
          <cell r="AF60">
            <v>2745632.6325400001</v>
          </cell>
        </row>
        <row r="61">
          <cell r="B61" t="str">
            <v>REFORESTADORA DEL CARIBE S.A.</v>
          </cell>
          <cell r="F61">
            <v>217244</v>
          </cell>
          <cell r="G61">
            <v>211858747</v>
          </cell>
          <cell r="H61">
            <v>43.448799999999999</v>
          </cell>
          <cell r="R61">
            <v>148000</v>
          </cell>
          <cell r="S61">
            <v>191696345</v>
          </cell>
          <cell r="T61">
            <v>29.599999999999998</v>
          </cell>
          <cell r="X61">
            <v>72443</v>
          </cell>
          <cell r="Z61">
            <v>14.488599999999998</v>
          </cell>
          <cell r="AA61">
            <v>437687</v>
          </cell>
          <cell r="AB61">
            <v>403555092</v>
          </cell>
          <cell r="AC61">
            <v>87.537399999999991</v>
          </cell>
          <cell r="AD61">
            <v>500000</v>
          </cell>
          <cell r="AE61">
            <v>5921.1301531918025</v>
          </cell>
          <cell r="AF61">
            <v>2591601.6933600609</v>
          </cell>
        </row>
        <row r="62">
          <cell r="B62" t="str">
            <v>DISTRIBUÍDORA COL. DE CEMENTO S.A.</v>
          </cell>
          <cell r="F62">
            <v>133067</v>
          </cell>
          <cell r="G62">
            <v>2236821227</v>
          </cell>
          <cell r="H62">
            <v>66.533500000000004</v>
          </cell>
          <cell r="X62">
            <v>66733</v>
          </cell>
          <cell r="Z62">
            <v>33.366500000000002</v>
          </cell>
          <cell r="AA62">
            <v>199800</v>
          </cell>
          <cell r="AB62">
            <v>2236821227</v>
          </cell>
          <cell r="AC62">
            <v>99.9</v>
          </cell>
          <cell r="AD62">
            <v>200000</v>
          </cell>
          <cell r="AE62">
            <v>12505.14</v>
          </cell>
          <cell r="AF62">
            <v>2498526.9720000001</v>
          </cell>
        </row>
        <row r="63">
          <cell r="B63" t="str">
            <v>TRANSATLANTIC CEMENT CARRIER</v>
          </cell>
          <cell r="F63">
            <v>4800</v>
          </cell>
          <cell r="G63">
            <v>527369979</v>
          </cell>
          <cell r="H63">
            <v>48</v>
          </cell>
          <cell r="AA63">
            <v>4800</v>
          </cell>
          <cell r="AB63">
            <v>527369979</v>
          </cell>
          <cell r="AC63">
            <v>48</v>
          </cell>
          <cell r="AD63">
            <v>10000</v>
          </cell>
          <cell r="AE63">
            <v>501552.01583333331</v>
          </cell>
          <cell r="AF63">
            <v>2407449.676</v>
          </cell>
        </row>
        <row r="64">
          <cell r="B64" t="str">
            <v xml:space="preserve">VIAS EN HORMIGON S.A.   </v>
          </cell>
          <cell r="C64">
            <v>638000</v>
          </cell>
          <cell r="D64">
            <v>659145939</v>
          </cell>
          <cell r="E64">
            <v>28.999999999999996</v>
          </cell>
          <cell r="I64">
            <v>638000</v>
          </cell>
          <cell r="J64">
            <v>765633028</v>
          </cell>
          <cell r="K64">
            <v>28.999999999999996</v>
          </cell>
          <cell r="L64">
            <v>220000</v>
          </cell>
          <cell r="M64">
            <v>263104800</v>
          </cell>
          <cell r="N64">
            <v>10</v>
          </cell>
          <cell r="U64">
            <v>638000</v>
          </cell>
          <cell r="V64">
            <v>629601310</v>
          </cell>
          <cell r="W64">
            <v>28.999999999999996</v>
          </cell>
          <cell r="AA64">
            <v>2134000</v>
          </cell>
          <cell r="AB64">
            <v>2317485077</v>
          </cell>
          <cell r="AC64">
            <v>97</v>
          </cell>
          <cell r="AD64">
            <v>2200000</v>
          </cell>
          <cell r="AE64">
            <v>1013.91</v>
          </cell>
          <cell r="AF64">
            <v>2163683.94</v>
          </cell>
        </row>
        <row r="65">
          <cell r="B65" t="str">
            <v>D I S C E M E N T O</v>
          </cell>
          <cell r="F65">
            <v>32500</v>
          </cell>
          <cell r="G65">
            <v>343295773</v>
          </cell>
          <cell r="H65">
            <v>65</v>
          </cell>
          <cell r="L65">
            <v>20</v>
          </cell>
          <cell r="M65">
            <v>73358</v>
          </cell>
          <cell r="N65">
            <v>0.04</v>
          </cell>
          <cell r="X65">
            <v>15000</v>
          </cell>
          <cell r="Z65">
            <v>30</v>
          </cell>
          <cell r="AA65">
            <v>47520</v>
          </cell>
          <cell r="AB65">
            <v>343369131</v>
          </cell>
          <cell r="AC65">
            <v>95.04</v>
          </cell>
          <cell r="AD65">
            <v>50000</v>
          </cell>
          <cell r="AE65">
            <v>43725.7</v>
          </cell>
          <cell r="AF65">
            <v>2077845.2639999997</v>
          </cell>
        </row>
        <row r="66">
          <cell r="B66" t="str">
            <v>PROMOTORA NAL. DE ZONAS FRANCAS S.A.</v>
          </cell>
          <cell r="C66">
            <v>63940688</v>
          </cell>
          <cell r="D66">
            <v>923277448</v>
          </cell>
          <cell r="E66">
            <v>16.7686451487262</v>
          </cell>
          <cell r="O66" t="str">
            <v xml:space="preserve"> </v>
          </cell>
          <cell r="AA66">
            <v>63940688</v>
          </cell>
          <cell r="AB66">
            <v>923277448</v>
          </cell>
          <cell r="AC66">
            <v>16.7686451487262</v>
          </cell>
          <cell r="AD66">
            <v>381310997</v>
          </cell>
          <cell r="AE66">
            <v>26.54</v>
          </cell>
          <cell r="AF66">
            <v>1696985.8595199999</v>
          </cell>
        </row>
        <row r="67">
          <cell r="B67" t="str">
            <v>URBANIZADORA VILLA SANTOS LTDA</v>
          </cell>
          <cell r="F67">
            <v>9000</v>
          </cell>
          <cell r="G67">
            <v>781801221</v>
          </cell>
          <cell r="H67">
            <v>90</v>
          </cell>
          <cell r="AA67">
            <v>9000</v>
          </cell>
          <cell r="AB67">
            <v>781801221</v>
          </cell>
          <cell r="AC67">
            <v>90</v>
          </cell>
          <cell r="AD67">
            <v>10000</v>
          </cell>
          <cell r="AE67">
            <v>176113.63</v>
          </cell>
          <cell r="AF67">
            <v>1585022.67</v>
          </cell>
        </row>
        <row r="68">
          <cell r="B68" t="str">
            <v xml:space="preserve">C O N C R E N A L   </v>
          </cell>
          <cell r="D68">
            <v>0</v>
          </cell>
          <cell r="L68">
            <v>400000</v>
          </cell>
          <cell r="M68">
            <v>1076206578</v>
          </cell>
          <cell r="N68">
            <v>6.666666666666667</v>
          </cell>
          <cell r="O68">
            <v>800000</v>
          </cell>
          <cell r="P68">
            <v>1106300000</v>
          </cell>
          <cell r="Q68">
            <v>13.333333333333334</v>
          </cell>
          <cell r="U68">
            <v>600000</v>
          </cell>
          <cell r="V68">
            <v>50179509</v>
          </cell>
          <cell r="W68">
            <v>10</v>
          </cell>
          <cell r="AA68">
            <v>1800000</v>
          </cell>
          <cell r="AB68">
            <v>2232686087</v>
          </cell>
          <cell r="AC68">
            <v>30</v>
          </cell>
          <cell r="AD68">
            <v>6000000</v>
          </cell>
          <cell r="AE68">
            <v>878.47</v>
          </cell>
          <cell r="AF68">
            <v>1581246</v>
          </cell>
        </row>
        <row r="69">
          <cell r="B69" t="str">
            <v>ANTIOQUIA CELULAR  S.A. - ANCEL</v>
          </cell>
          <cell r="C69">
            <v>471212</v>
          </cell>
          <cell r="D69">
            <v>1376094451</v>
          </cell>
          <cell r="E69">
            <v>3.1306979976533653</v>
          </cell>
          <cell r="AA69">
            <v>471212</v>
          </cell>
          <cell r="AB69">
            <v>1376094451</v>
          </cell>
          <cell r="AC69">
            <v>3.1306979976533653</v>
          </cell>
          <cell r="AD69">
            <v>15051340</v>
          </cell>
          <cell r="AE69">
            <v>3175.11</v>
          </cell>
          <cell r="AF69">
            <v>1496149.9333200001</v>
          </cell>
        </row>
        <row r="70">
          <cell r="B70" t="str">
            <v>C E M C A R</v>
          </cell>
          <cell r="R70">
            <v>202335</v>
          </cell>
          <cell r="S70">
            <v>881425724</v>
          </cell>
          <cell r="T70">
            <v>90.826046361302133</v>
          </cell>
          <cell r="AA70">
            <v>202335</v>
          </cell>
          <cell r="AB70">
            <v>881425724</v>
          </cell>
          <cell r="AC70">
            <v>90.826046361302133</v>
          </cell>
          <cell r="AD70">
            <v>222772</v>
          </cell>
          <cell r="AE70">
            <v>6613.0649022660436</v>
          </cell>
          <cell r="AF70">
            <v>1338054.487</v>
          </cell>
        </row>
        <row r="71">
          <cell r="B71" t="str">
            <v>CANTERAS  DE COLOMBIA S.A.</v>
          </cell>
          <cell r="C71">
            <v>50000</v>
          </cell>
          <cell r="D71">
            <v>54549428</v>
          </cell>
          <cell r="E71">
            <v>50</v>
          </cell>
          <cell r="AA71">
            <v>50000</v>
          </cell>
          <cell r="AB71">
            <v>54549428</v>
          </cell>
          <cell r="AC71">
            <v>50</v>
          </cell>
          <cell r="AD71">
            <v>100000</v>
          </cell>
          <cell r="AE71">
            <v>24188.41</v>
          </cell>
          <cell r="AF71">
            <v>1209420.5</v>
          </cell>
        </row>
        <row r="72">
          <cell r="B72" t="str">
            <v>SUCROMILES S.A.</v>
          </cell>
          <cell r="O72">
            <v>8716</v>
          </cell>
          <cell r="P72">
            <v>55610000</v>
          </cell>
          <cell r="Q72">
            <v>1.3206060606060606</v>
          </cell>
          <cell r="AA72">
            <v>8716</v>
          </cell>
          <cell r="AB72">
            <v>55610000</v>
          </cell>
          <cell r="AC72">
            <v>1.3206060606060606</v>
          </cell>
          <cell r="AD72">
            <v>660000</v>
          </cell>
          <cell r="AE72">
            <v>131219.81</v>
          </cell>
          <cell r="AF72">
            <v>1143711.86396</v>
          </cell>
        </row>
        <row r="73">
          <cell r="B73" t="str">
            <v>TRANSMETANO</v>
          </cell>
          <cell r="C73">
            <v>31764859</v>
          </cell>
          <cell r="D73">
            <v>1347539600</v>
          </cell>
          <cell r="E73">
            <v>2.1665026312589646</v>
          </cell>
          <cell r="AA73">
            <v>31764859</v>
          </cell>
          <cell r="AB73">
            <v>1347539600</v>
          </cell>
          <cell r="AC73">
            <v>2.1665026312589646</v>
          </cell>
          <cell r="AD73">
            <v>1466181418</v>
          </cell>
          <cell r="AE73">
            <v>27.03</v>
          </cell>
          <cell r="AF73">
            <v>858604.13876999996</v>
          </cell>
        </row>
        <row r="74">
          <cell r="B74" t="str">
            <v>PROELECTRICA S.A.</v>
          </cell>
          <cell r="R74">
            <v>25008</v>
          </cell>
          <cell r="S74">
            <v>307151058</v>
          </cell>
          <cell r="T74">
            <v>13.770015197233661</v>
          </cell>
          <cell r="AA74">
            <v>25008</v>
          </cell>
          <cell r="AB74">
            <v>307151058</v>
          </cell>
          <cell r="AC74">
            <v>13.770015197233661</v>
          </cell>
          <cell r="AD74">
            <v>181612</v>
          </cell>
          <cell r="AE74">
            <v>32861.78</v>
          </cell>
          <cell r="AF74">
            <v>821807.39424000005</v>
          </cell>
        </row>
        <row r="75">
          <cell r="B75" t="str">
            <v>SOCIEDAD REGIONAL DE BUENAVENTURA</v>
          </cell>
          <cell r="I75">
            <v>34715</v>
          </cell>
          <cell r="J75">
            <v>26364319</v>
          </cell>
          <cell r="K75">
            <v>0.19800252158763632</v>
          </cell>
          <cell r="L75">
            <v>59002</v>
          </cell>
          <cell r="M75">
            <v>137360463</v>
          </cell>
          <cell r="N75">
            <v>0.33652728730271403</v>
          </cell>
          <cell r="O75">
            <v>176321</v>
          </cell>
          <cell r="P75">
            <v>81547000</v>
          </cell>
          <cell r="Q75">
            <v>1.0056748555049293</v>
          </cell>
          <cell r="AA75">
            <v>270038</v>
          </cell>
          <cell r="AB75">
            <v>245271782</v>
          </cell>
          <cell r="AC75">
            <v>1.5402046643952796</v>
          </cell>
          <cell r="AD75">
            <v>17532605</v>
          </cell>
          <cell r="AE75">
            <v>3020.01</v>
          </cell>
          <cell r="AF75">
            <v>815517.46038000006</v>
          </cell>
        </row>
        <row r="76">
          <cell r="B76" t="str">
            <v>PIEDRAS Y DERIVADOS</v>
          </cell>
          <cell r="C76">
            <v>99868</v>
          </cell>
          <cell r="D76">
            <v>771858924</v>
          </cell>
          <cell r="E76">
            <v>76.947021296267764</v>
          </cell>
          <cell r="L76">
            <v>650</v>
          </cell>
          <cell r="N76">
            <v>0.50081671649150916</v>
          </cell>
          <cell r="U76">
            <v>1663</v>
          </cell>
          <cell r="V76">
            <v>564483</v>
          </cell>
          <cell r="W76">
            <v>1.2813203069621228</v>
          </cell>
          <cell r="AA76">
            <v>102181</v>
          </cell>
          <cell r="AB76">
            <v>772423407</v>
          </cell>
          <cell r="AC76">
            <v>78.729158319721407</v>
          </cell>
          <cell r="AD76">
            <v>129788</v>
          </cell>
          <cell r="AE76">
            <v>6733.75</v>
          </cell>
          <cell r="AF76">
            <v>688061.30874999997</v>
          </cell>
        </row>
        <row r="77">
          <cell r="B77" t="str">
            <v xml:space="preserve">TABLEROS Y MADERAS DE CALDAS S.A. </v>
          </cell>
          <cell r="C77">
            <v>81866333</v>
          </cell>
          <cell r="D77">
            <v>1769370098</v>
          </cell>
          <cell r="E77">
            <v>5.3180679208482795</v>
          </cell>
          <cell r="L77">
            <v>29462347</v>
          </cell>
          <cell r="M77">
            <v>834366909</v>
          </cell>
          <cell r="N77">
            <v>1.9138851920190505</v>
          </cell>
          <cell r="AA77">
            <v>111328680</v>
          </cell>
          <cell r="AB77">
            <v>2603737007</v>
          </cell>
          <cell r="AC77">
            <v>7.2319531128673304</v>
          </cell>
          <cell r="AD77">
            <v>1539399914</v>
          </cell>
          <cell r="AE77">
            <v>6.01</v>
          </cell>
          <cell r="AF77">
            <v>669085.36679999996</v>
          </cell>
        </row>
        <row r="78">
          <cell r="B78" t="str">
            <v>CORP. FINANCIERA COLOMBIANA  S.A.</v>
          </cell>
          <cell r="F78">
            <v>1176367</v>
          </cell>
          <cell r="G78">
            <v>363598916</v>
          </cell>
          <cell r="H78">
            <v>0.6031173737272939</v>
          </cell>
          <cell r="AA78">
            <v>1176367</v>
          </cell>
          <cell r="AB78">
            <v>363598916</v>
          </cell>
          <cell r="AC78">
            <v>0.6031173737272939</v>
          </cell>
          <cell r="AD78">
            <v>195047772</v>
          </cell>
          <cell r="AE78">
            <v>514.0199997109745</v>
          </cell>
          <cell r="AF78">
            <v>604676.16500000004</v>
          </cell>
        </row>
        <row r="79">
          <cell r="B79" t="str">
            <v>PREDIOS DEL SUR</v>
          </cell>
          <cell r="C79">
            <v>401065661</v>
          </cell>
          <cell r="D79">
            <v>484335980</v>
          </cell>
          <cell r="E79">
            <v>5.2186049218975628</v>
          </cell>
          <cell r="AA79">
            <v>401065661</v>
          </cell>
          <cell r="AB79">
            <v>484335980</v>
          </cell>
          <cell r="AC79">
            <v>5.2186049218975628</v>
          </cell>
          <cell r="AD79">
            <v>7685304157</v>
          </cell>
          <cell r="AE79">
            <v>1.43</v>
          </cell>
          <cell r="AF79">
            <v>573523.89523000002</v>
          </cell>
        </row>
        <row r="80">
          <cell r="B80" t="str">
            <v>MERILECTRICA, 1 S.A. &amp; CIA, SCA, ESP.</v>
          </cell>
          <cell r="C80">
            <v>419919</v>
          </cell>
          <cell r="D80">
            <v>277681050</v>
          </cell>
          <cell r="E80">
            <v>4.950027495634</v>
          </cell>
          <cell r="AA80">
            <v>419919</v>
          </cell>
          <cell r="AB80">
            <v>277681050</v>
          </cell>
          <cell r="AC80">
            <v>4.950027495634</v>
          </cell>
          <cell r="AD80">
            <v>8483165</v>
          </cell>
          <cell r="AE80">
            <v>1336.79</v>
          </cell>
          <cell r="AF80">
            <v>561343.52000999998</v>
          </cell>
        </row>
        <row r="81">
          <cell r="B81" t="str">
            <v>CARBONES NECHI  LTDA.</v>
          </cell>
          <cell r="O81">
            <v>29900</v>
          </cell>
          <cell r="P81">
            <v>455990000</v>
          </cell>
          <cell r="Q81">
            <v>46</v>
          </cell>
          <cell r="AA81">
            <v>29900</v>
          </cell>
          <cell r="AB81">
            <v>455990000</v>
          </cell>
          <cell r="AC81">
            <v>46</v>
          </cell>
          <cell r="AD81">
            <v>65000</v>
          </cell>
          <cell r="AE81">
            <v>18755.886287625421</v>
          </cell>
          <cell r="AF81">
            <v>560801.00000000012</v>
          </cell>
        </row>
        <row r="82">
          <cell r="B82" t="str">
            <v xml:space="preserve">S U I N M O B I  L I A R I A </v>
          </cell>
          <cell r="C82">
            <v>5003884</v>
          </cell>
          <cell r="D82">
            <v>2904114036</v>
          </cell>
          <cell r="E82">
            <v>17.705633550844514</v>
          </cell>
          <cell r="AA82">
            <v>5003884</v>
          </cell>
          <cell r="AB82">
            <v>2904114036</v>
          </cell>
          <cell r="AC82">
            <v>17.705633550844514</v>
          </cell>
          <cell r="AD82">
            <v>28261536</v>
          </cell>
          <cell r="AE82">
            <v>102.26</v>
          </cell>
          <cell r="AF82">
            <v>511697.17784000002</v>
          </cell>
        </row>
        <row r="83">
          <cell r="B83" t="str">
            <v>FLOTA FLUVIAL CARBONERA LTDA</v>
          </cell>
          <cell r="F83">
            <v>247745</v>
          </cell>
          <cell r="G83">
            <v>442097095</v>
          </cell>
          <cell r="H83">
            <v>41.290833333333332</v>
          </cell>
          <cell r="X83">
            <v>4510</v>
          </cell>
          <cell r="Z83">
            <v>0.75166666666666659</v>
          </cell>
          <cell r="AA83">
            <v>252255</v>
          </cell>
          <cell r="AB83">
            <v>442097095</v>
          </cell>
          <cell r="AC83">
            <v>42.042499999999997</v>
          </cell>
          <cell r="AD83">
            <v>600000</v>
          </cell>
          <cell r="AE83">
            <v>1886.1599991927183</v>
          </cell>
          <cell r="AF83">
            <v>475793.29059635912</v>
          </cell>
        </row>
        <row r="84">
          <cell r="B84" t="str">
            <v>PROCARBON DE OCCIDENTE</v>
          </cell>
          <cell r="O84">
            <v>1139924</v>
          </cell>
          <cell r="P84">
            <v>397410000</v>
          </cell>
          <cell r="Q84">
            <v>19.405703273824219</v>
          </cell>
          <cell r="AA84">
            <v>1139924</v>
          </cell>
          <cell r="AB84">
            <v>397410000</v>
          </cell>
          <cell r="AC84">
            <v>19.405703273824219</v>
          </cell>
          <cell r="AD84">
            <v>5874170</v>
          </cell>
          <cell r="AE84">
            <v>414.68</v>
          </cell>
          <cell r="AF84">
            <v>472703.68432</v>
          </cell>
        </row>
        <row r="85">
          <cell r="B85" t="str">
            <v>SOC. COL. DE TRANSP. FERROVIARIO  S.A.</v>
          </cell>
          <cell r="C85">
            <v>3330709</v>
          </cell>
          <cell r="D85">
            <v>440453773</v>
          </cell>
          <cell r="E85">
            <v>2.5795680192887689</v>
          </cell>
          <cell r="F85">
            <v>2715000</v>
          </cell>
          <cell r="G85">
            <v>403905064</v>
          </cell>
          <cell r="H85">
            <v>2.1027136181422659</v>
          </cell>
          <cell r="K85">
            <v>0</v>
          </cell>
          <cell r="AA85">
            <v>6045709</v>
          </cell>
          <cell r="AB85">
            <v>844358837</v>
          </cell>
          <cell r="AC85">
            <v>4.6822816374310348</v>
          </cell>
          <cell r="AD85">
            <v>129118867</v>
          </cell>
          <cell r="AE85">
            <v>76.09</v>
          </cell>
          <cell r="AF85">
            <v>460017.99781000003</v>
          </cell>
        </row>
        <row r="86">
          <cell r="B86" t="str">
            <v>SOC. AGREGADOS CALCAREOS  LTDA</v>
          </cell>
          <cell r="L86">
            <v>4000</v>
          </cell>
          <cell r="M86">
            <v>9660094</v>
          </cell>
          <cell r="N86">
            <v>10</v>
          </cell>
          <cell r="O86">
            <v>16400</v>
          </cell>
          <cell r="P86">
            <v>54660000</v>
          </cell>
          <cell r="Q86">
            <v>41</v>
          </cell>
          <cell r="AA86">
            <v>20400</v>
          </cell>
          <cell r="AB86">
            <v>64320094</v>
          </cell>
          <cell r="AC86">
            <v>51</v>
          </cell>
          <cell r="AD86">
            <v>40000</v>
          </cell>
          <cell r="AE86">
            <v>21230.914634146342</v>
          </cell>
          <cell r="AF86">
            <v>433110.6585365854</v>
          </cell>
        </row>
        <row r="87">
          <cell r="B87" t="str">
            <v>CORPORACIÓN FINANCIERA DEL NORTE  S.A.</v>
          </cell>
          <cell r="F87">
            <v>3126483</v>
          </cell>
          <cell r="G87">
            <v>205850865</v>
          </cell>
          <cell r="H87">
            <v>2.5</v>
          </cell>
          <cell r="R87">
            <v>354540</v>
          </cell>
          <cell r="S87">
            <v>32102701</v>
          </cell>
          <cell r="T87">
            <v>0.28349746344374815</v>
          </cell>
          <cell r="AA87">
            <v>3481023</v>
          </cell>
          <cell r="AB87">
            <v>237953566</v>
          </cell>
          <cell r="AC87">
            <v>2.7834974634437479</v>
          </cell>
          <cell r="AD87">
            <v>125059320</v>
          </cell>
          <cell r="AE87">
            <v>116.58303563460925</v>
          </cell>
          <cell r="AF87">
            <v>405828.22845389438</v>
          </cell>
        </row>
        <row r="88">
          <cell r="B88" t="str">
            <v>ETERNIT ATLANTICO S.A.</v>
          </cell>
          <cell r="C88">
            <v>86753</v>
          </cell>
          <cell r="D88">
            <v>8684294</v>
          </cell>
          <cell r="E88">
            <v>1.4394862564098478</v>
          </cell>
          <cell r="AA88">
            <v>86753</v>
          </cell>
          <cell r="AB88">
            <v>8684294</v>
          </cell>
          <cell r="AC88">
            <v>1.4394862564098478</v>
          </cell>
          <cell r="AD88">
            <v>6026664</v>
          </cell>
          <cell r="AE88">
            <v>4331.63</v>
          </cell>
          <cell r="AF88">
            <v>375781.89739</v>
          </cell>
        </row>
        <row r="89">
          <cell r="B89" t="str">
            <v>OTRAS INVERSIONES</v>
          </cell>
          <cell r="AF89">
            <v>3797976.3994258554</v>
          </cell>
        </row>
        <row r="90">
          <cell r="B90" t="str">
            <v>SUBTOTAL</v>
          </cell>
          <cell r="AF90">
            <v>1046250103.3587524</v>
          </cell>
        </row>
        <row r="91">
          <cell r="B91" t="str">
            <v>T O T A L</v>
          </cell>
          <cell r="AF91">
            <v>2572809243.9527526</v>
          </cell>
        </row>
        <row r="92">
          <cell r="B92" t="str">
            <v>(*) VALORIZADAS A VALOR INTRINSECO, SEGÚN CIRCULAR EXTERNA No. 001 DE 1996 DE LA SUPERINTENDENCIA DE VALORES.</v>
          </cell>
        </row>
        <row r="100">
          <cell r="B100" t="str">
            <v>ALMACENES ÉXITO</v>
          </cell>
          <cell r="D100">
            <v>0</v>
          </cell>
          <cell r="O100">
            <v>76975</v>
          </cell>
          <cell r="P100">
            <v>0</v>
          </cell>
          <cell r="Q100">
            <v>4.0451435178820383E-2</v>
          </cell>
          <cell r="AA100">
            <v>76975</v>
          </cell>
          <cell r="AB100">
            <v>0</v>
          </cell>
          <cell r="AC100">
            <v>4.0451435178820383E-2</v>
          </cell>
          <cell r="AD100">
            <v>190289911</v>
          </cell>
          <cell r="AE100">
            <v>4500</v>
          </cell>
          <cell r="AF100">
            <v>346387.5</v>
          </cell>
        </row>
        <row r="101">
          <cell r="B101" t="str">
            <v>INGENIO LA CABAÑA</v>
          </cell>
          <cell r="O101">
            <v>16204</v>
          </cell>
          <cell r="P101">
            <v>1000000000</v>
          </cell>
          <cell r="Q101">
            <v>0.13999999999999999</v>
          </cell>
          <cell r="AA101">
            <v>16204</v>
          </cell>
          <cell r="AB101">
            <v>1000000000</v>
          </cell>
          <cell r="AC101">
            <v>0.13999999999999999</v>
          </cell>
          <cell r="AD101">
            <v>11574285.714285715</v>
          </cell>
          <cell r="AE101">
            <v>15527.59</v>
          </cell>
          <cell r="AF101">
            <v>251609.06836</v>
          </cell>
        </row>
        <row r="102">
          <cell r="B102" t="str">
            <v>ACERIAS PAZ DEL RIO S.A.</v>
          </cell>
          <cell r="O102">
            <v>9006666</v>
          </cell>
          <cell r="P102">
            <v>219780000</v>
          </cell>
          <cell r="Q102">
            <v>9.4555037793220276E-2</v>
          </cell>
          <cell r="AA102">
            <v>9006666</v>
          </cell>
          <cell r="AB102">
            <v>219780000</v>
          </cell>
          <cell r="AC102">
            <v>9.4555037793220276E-2</v>
          </cell>
          <cell r="AD102">
            <v>9525315848</v>
          </cell>
          <cell r="AE102">
            <v>22.31</v>
          </cell>
          <cell r="AF102">
            <v>200938.71845999997</v>
          </cell>
        </row>
        <row r="103">
          <cell r="B103" t="str">
            <v>PROMOTORA PROY. DEL SUROCCIDENTE S.A.</v>
          </cell>
          <cell r="C103">
            <v>191000</v>
          </cell>
          <cell r="D103">
            <v>274705370</v>
          </cell>
          <cell r="E103">
            <v>20</v>
          </cell>
          <cell r="O103">
            <v>382000</v>
          </cell>
          <cell r="P103">
            <v>706810000</v>
          </cell>
          <cell r="Q103">
            <v>40</v>
          </cell>
          <cell r="AA103">
            <v>573000</v>
          </cell>
          <cell r="AB103">
            <v>981515370</v>
          </cell>
          <cell r="AC103">
            <v>60</v>
          </cell>
          <cell r="AD103">
            <v>955000</v>
          </cell>
          <cell r="AE103">
            <v>342.98</v>
          </cell>
          <cell r="AF103">
            <v>196527.54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menteras"/>
      <sheetName val="0tras"/>
      <sheetName val="Vr.-ARGOS"/>
      <sheetName val="Vr.-CARIBE"/>
      <sheetName val="Vr.-CAIRO"/>
      <sheetName val="Vr.-NARE"/>
      <sheetName val="Vr.-VALLE"/>
      <sheetName val="Vr.-COLCLINKER"/>
      <sheetName val="Vr.-RIOCLARO"/>
      <sheetName val="Vr.-TOLCEMENTO"/>
      <sheetName val="TOTAL GRUPO"/>
      <sheetName val="INVERGPO"/>
      <sheetName val="A JUNIO2000"/>
      <sheetName val="septmbre00"/>
      <sheetName val="DICIEMBRE"/>
      <sheetName val="MARZO-01"/>
      <sheetName val="Junio-01"/>
      <sheetName val="SEP-01"/>
      <sheetName val="DIC-01"/>
      <sheetName val="Mar-02-Actualizar sobre este"/>
      <sheetName val="Jun-02-no actualizar"/>
      <sheetName val="Agosto"/>
      <sheetName val="SEPT. 30.02"/>
      <sheetName val="E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F7">
            <v>540958434.21695995</v>
          </cell>
        </row>
        <row r="8">
          <cell r="AF8">
            <v>241799904.07949999</v>
          </cell>
        </row>
        <row r="9">
          <cell r="AF9">
            <v>225743747.66940001</v>
          </cell>
        </row>
        <row r="10">
          <cell r="AF10">
            <v>203089101.99944001</v>
          </cell>
        </row>
        <row r="11">
          <cell r="AF11">
            <v>186070040.62151998</v>
          </cell>
        </row>
        <row r="24">
          <cell r="B24" t="str">
            <v xml:space="preserve">TOLCEMENTO </v>
          </cell>
          <cell r="F24">
            <v>28483612</v>
          </cell>
          <cell r="G24">
            <v>40843015974</v>
          </cell>
          <cell r="H24">
            <v>71.210000236253222</v>
          </cell>
          <cell r="O24">
            <v>4003686</v>
          </cell>
          <cell r="P24">
            <v>1434940000</v>
          </cell>
          <cell r="Q24">
            <v>10.009351377412518</v>
          </cell>
          <cell r="AA24">
            <v>32487298</v>
          </cell>
          <cell r="AB24">
            <v>42277955974</v>
          </cell>
          <cell r="AC24">
            <v>81.219351613665737</v>
          </cell>
          <cell r="AD24">
            <v>39999455</v>
          </cell>
          <cell r="AE24">
            <v>2547.0800000014042</v>
          </cell>
          <cell r="AF24">
            <v>82747746.989885613</v>
          </cell>
        </row>
        <row r="25">
          <cell r="B25" t="str">
            <v>CORPORACIÓN DE CEMENTO ANDINO S.A.</v>
          </cell>
          <cell r="F25">
            <v>33423008</v>
          </cell>
          <cell r="G25">
            <v>41533003144</v>
          </cell>
          <cell r="H25">
            <v>80</v>
          </cell>
          <cell r="AA25">
            <v>33423008</v>
          </cell>
          <cell r="AB25">
            <v>41533003144</v>
          </cell>
          <cell r="AC25">
            <v>80</v>
          </cell>
          <cell r="AD25">
            <v>41778760</v>
          </cell>
          <cell r="AE25">
            <v>2186.3829001676922</v>
          </cell>
          <cell r="AF25">
            <v>73075493.163367987</v>
          </cell>
        </row>
        <row r="26">
          <cell r="B26" t="str">
            <v>VALLE CEMENT INVESTMENT</v>
          </cell>
          <cell r="O26">
            <v>1</v>
          </cell>
          <cell r="P26">
            <v>43636630000</v>
          </cell>
          <cell r="Q26">
            <v>100</v>
          </cell>
          <cell r="AA26">
            <v>1</v>
          </cell>
          <cell r="AB26">
            <v>43636630000</v>
          </cell>
          <cell r="AC26">
            <v>100</v>
          </cell>
          <cell r="AD26">
            <v>1</v>
          </cell>
          <cell r="AE26">
            <v>66223912</v>
          </cell>
          <cell r="AF26">
            <v>66223912</v>
          </cell>
        </row>
        <row r="27">
          <cell r="B27" t="str">
            <v>BANCOLOMBIA S.A.</v>
          </cell>
          <cell r="C27">
            <v>24375687</v>
          </cell>
          <cell r="D27">
            <v>7433119936</v>
          </cell>
          <cell r="E27">
            <v>7.1894310820651537</v>
          </cell>
          <cell r="L27">
            <v>752657</v>
          </cell>
          <cell r="M27">
            <v>3401144920</v>
          </cell>
          <cell r="N27">
            <v>0.22199069219808709</v>
          </cell>
          <cell r="O27">
            <v>29658125</v>
          </cell>
          <cell r="P27">
            <v>32736470000</v>
          </cell>
          <cell r="Q27">
            <v>8.7474476395587786</v>
          </cell>
          <cell r="AA27">
            <v>54786469</v>
          </cell>
          <cell r="AB27">
            <v>43570734856</v>
          </cell>
          <cell r="AC27">
            <v>16.158869413822018</v>
          </cell>
          <cell r="AD27">
            <v>339048900</v>
          </cell>
          <cell r="AE27">
            <v>1057.42</v>
          </cell>
          <cell r="AF27">
            <v>57932308.04998</v>
          </cell>
        </row>
        <row r="28">
          <cell r="B28" t="str">
            <v>C O N A V I</v>
          </cell>
          <cell r="C28">
            <v>305333930</v>
          </cell>
          <cell r="D28">
            <v>479649994</v>
          </cell>
          <cell r="E28">
            <v>7.5418959326300925</v>
          </cell>
          <cell r="I28">
            <v>210117338</v>
          </cell>
          <cell r="J28">
            <v>31793089535</v>
          </cell>
          <cell r="K28">
            <v>5.1900000004495492</v>
          </cell>
          <cell r="AA28">
            <v>515451268</v>
          </cell>
          <cell r="AB28">
            <v>32272739529</v>
          </cell>
          <cell r="AC28">
            <v>12.731895933079642</v>
          </cell>
          <cell r="AD28">
            <v>4048503622</v>
          </cell>
          <cell r="AE28">
            <v>100</v>
          </cell>
          <cell r="AF28">
            <v>51545126.799999997</v>
          </cell>
        </row>
        <row r="29">
          <cell r="B29" t="str">
            <v>CIA. NACIONAL DE CHOCOLATES S.A.</v>
          </cell>
          <cell r="C29">
            <v>3198802</v>
          </cell>
          <cell r="D29">
            <v>2880329910</v>
          </cell>
          <cell r="E29">
            <v>3.6912681898527393</v>
          </cell>
          <cell r="I29">
            <v>289263</v>
          </cell>
          <cell r="J29">
            <v>468255551</v>
          </cell>
          <cell r="K29">
            <v>0.33379599937769605</v>
          </cell>
          <cell r="L29">
            <v>710202</v>
          </cell>
          <cell r="M29">
            <v>4758353400</v>
          </cell>
          <cell r="N29">
            <v>0.81953995619916298</v>
          </cell>
          <cell r="O29">
            <v>1851296</v>
          </cell>
          <cell r="P29">
            <v>1773730000</v>
          </cell>
          <cell r="Q29">
            <v>2.1363091666197582</v>
          </cell>
          <cell r="AA29">
            <v>6049563</v>
          </cell>
          <cell r="AB29">
            <v>9880668861</v>
          </cell>
          <cell r="AC29">
            <v>6.9809133120493563</v>
          </cell>
          <cell r="AD29">
            <v>86658618</v>
          </cell>
          <cell r="AE29">
            <v>7063.02</v>
          </cell>
          <cell r="AF29">
            <v>42728184.460260004</v>
          </cell>
        </row>
        <row r="30">
          <cell r="B30" t="str">
            <v>CEMENTOS PAZ DEL RIO S.A.</v>
          </cell>
          <cell r="C30">
            <v>24124594</v>
          </cell>
          <cell r="D30">
            <v>18565624578</v>
          </cell>
          <cell r="E30">
            <v>20.103828333333336</v>
          </cell>
          <cell r="F30">
            <v>218564</v>
          </cell>
          <cell r="G30">
            <v>44961296</v>
          </cell>
          <cell r="H30">
            <v>0.18213666666666667</v>
          </cell>
          <cell r="I30">
            <v>2985397</v>
          </cell>
          <cell r="J30">
            <v>1860367965</v>
          </cell>
          <cell r="K30">
            <v>2.4878308333333337</v>
          </cell>
          <cell r="L30">
            <v>2909476</v>
          </cell>
          <cell r="M30">
            <v>1630130277</v>
          </cell>
          <cell r="N30">
            <v>2.4245633333333334</v>
          </cell>
          <cell r="O30">
            <v>1320993</v>
          </cell>
          <cell r="P30">
            <v>2132920000</v>
          </cell>
          <cell r="Q30">
            <v>1.1008275000000001</v>
          </cell>
          <cell r="R30">
            <v>3000000</v>
          </cell>
          <cell r="T30">
            <v>2.5</v>
          </cell>
          <cell r="U30">
            <v>5137782</v>
          </cell>
          <cell r="V30">
            <v>1121118400</v>
          </cell>
          <cell r="W30">
            <v>4.281485</v>
          </cell>
          <cell r="AA30">
            <v>39696806</v>
          </cell>
          <cell r="AB30">
            <v>25355122516</v>
          </cell>
          <cell r="AC30">
            <v>33.080671666666674</v>
          </cell>
          <cell r="AD30">
            <v>120000000</v>
          </cell>
          <cell r="AE30">
            <v>839.48</v>
          </cell>
          <cell r="AF30">
            <v>33324674.700880002</v>
          </cell>
        </row>
        <row r="31">
          <cell r="B31" t="str">
            <v>COLCARIBE HOLDING</v>
          </cell>
          <cell r="F31">
            <v>85000</v>
          </cell>
          <cell r="G31">
            <v>72963466168</v>
          </cell>
          <cell r="H31">
            <v>29.310344827586203</v>
          </cell>
          <cell r="R31">
            <v>75000</v>
          </cell>
          <cell r="S31">
            <v>7780750000</v>
          </cell>
          <cell r="T31">
            <v>25.862068965517242</v>
          </cell>
          <cell r="AA31">
            <v>160000</v>
          </cell>
          <cell r="AB31">
            <v>80744216168</v>
          </cell>
          <cell r="AC31">
            <v>55.172413793103445</v>
          </cell>
          <cell r="AD31">
            <v>290000</v>
          </cell>
          <cell r="AE31">
            <v>181479.67095294117</v>
          </cell>
          <cell r="AF31">
            <v>29036747.352470588</v>
          </cell>
        </row>
        <row r="32">
          <cell r="B32" t="str">
            <v>CIA. COMERCIAL. FABRICATO y TEJICONDOR</v>
          </cell>
          <cell r="C32">
            <v>963662</v>
          </cell>
          <cell r="E32">
            <v>13.217396409011226</v>
          </cell>
          <cell r="O32">
            <v>1029659</v>
          </cell>
          <cell r="Q32">
            <v>14.122598140329378</v>
          </cell>
          <cell r="AA32">
            <v>1993321</v>
          </cell>
          <cell r="AB32">
            <v>0</v>
          </cell>
          <cell r="AC32">
            <v>27.339994549340602</v>
          </cell>
          <cell r="AD32">
            <v>7290861</v>
          </cell>
          <cell r="AE32">
            <v>13622.23</v>
          </cell>
          <cell r="AF32">
            <v>27153477.125829998</v>
          </cell>
        </row>
        <row r="33">
          <cell r="B33" t="str">
            <v>C.I. FABRICATO y TEJICONDOR</v>
          </cell>
          <cell r="C33">
            <v>963663</v>
          </cell>
          <cell r="E33">
            <v>13.675742881621023</v>
          </cell>
          <cell r="O33">
            <v>1029661</v>
          </cell>
          <cell r="Q33">
            <v>14.612347979773826</v>
          </cell>
          <cell r="AA33">
            <v>1993324</v>
          </cell>
          <cell r="AB33">
            <v>0</v>
          </cell>
          <cell r="AC33">
            <v>28.288090861394849</v>
          </cell>
          <cell r="AD33">
            <v>7046513</v>
          </cell>
          <cell r="AE33">
            <v>13164.59</v>
          </cell>
          <cell r="AF33">
            <v>26241293.197159998</v>
          </cell>
        </row>
        <row r="34">
          <cell r="B34" t="str">
            <v>CARBONES DEL CARIBE S.A.</v>
          </cell>
          <cell r="C34">
            <v>260000</v>
          </cell>
          <cell r="D34">
            <v>32613768972</v>
          </cell>
          <cell r="E34">
            <v>3.4666666666666663</v>
          </cell>
          <cell r="F34">
            <v>3670000</v>
          </cell>
          <cell r="G34">
            <v>21864849123</v>
          </cell>
          <cell r="H34">
            <v>48.933333333333337</v>
          </cell>
          <cell r="I34">
            <v>325000</v>
          </cell>
          <cell r="J34">
            <v>3549836130</v>
          </cell>
          <cell r="K34">
            <v>4.3333333333333339</v>
          </cell>
          <cell r="L34">
            <v>28887</v>
          </cell>
          <cell r="M34">
            <v>331908587</v>
          </cell>
          <cell r="N34">
            <v>0.38516</v>
          </cell>
          <cell r="O34">
            <v>258580</v>
          </cell>
          <cell r="P34">
            <v>4614990000</v>
          </cell>
          <cell r="Q34">
            <v>3.4477333333333333</v>
          </cell>
          <cell r="X34">
            <v>0</v>
          </cell>
          <cell r="AA34">
            <v>4542467</v>
          </cell>
          <cell r="AB34">
            <v>62975352812</v>
          </cell>
          <cell r="AC34">
            <v>60.566226666666672</v>
          </cell>
          <cell r="AD34">
            <v>7500000</v>
          </cell>
          <cell r="AE34">
            <v>4989.3</v>
          </cell>
          <cell r="AF34">
            <v>22663730.603100002</v>
          </cell>
        </row>
        <row r="35">
          <cell r="B35" t="str">
            <v>CARTON DE COLOMBIA S.A.</v>
          </cell>
          <cell r="I35">
            <v>1279159</v>
          </cell>
          <cell r="J35">
            <v>1738991498</v>
          </cell>
          <cell r="K35">
            <v>1.1683509486547461</v>
          </cell>
          <cell r="O35">
            <v>2380225</v>
          </cell>
          <cell r="P35">
            <v>3043010000</v>
          </cell>
          <cell r="Q35">
            <v>2.174036329152</v>
          </cell>
          <cell r="AA35">
            <v>3659384</v>
          </cell>
          <cell r="AB35">
            <v>4782001498</v>
          </cell>
          <cell r="AC35">
            <v>3.342387277806746</v>
          </cell>
          <cell r="AD35">
            <v>109484141</v>
          </cell>
          <cell r="AE35">
            <v>5310.02</v>
          </cell>
          <cell r="AF35">
            <v>19431402.227680001</v>
          </cell>
        </row>
        <row r="36">
          <cell r="B36" t="str">
            <v>LA CEMENTO NACIONAL C.A. (ECUADOR)</v>
          </cell>
          <cell r="C36">
            <v>24105</v>
          </cell>
          <cell r="D36">
            <v>6437167036</v>
          </cell>
          <cell r="E36">
            <v>1.7583583111882066</v>
          </cell>
          <cell r="O36">
            <v>21186</v>
          </cell>
          <cell r="P36">
            <v>7878220000</v>
          </cell>
          <cell r="Q36">
            <v>1.545429544942267</v>
          </cell>
          <cell r="AA36">
            <v>45291</v>
          </cell>
          <cell r="AB36">
            <v>14315387036</v>
          </cell>
          <cell r="AC36">
            <v>3.3037878561304739</v>
          </cell>
          <cell r="AD36">
            <v>1370881</v>
          </cell>
          <cell r="AE36">
            <v>419112.09105994605</v>
          </cell>
          <cell r="AF36">
            <v>18982005.716196019</v>
          </cell>
        </row>
        <row r="37">
          <cell r="B37" t="str">
            <v>CONCRETOS DEL CAUCA LTDA</v>
          </cell>
          <cell r="C37">
            <v>105323</v>
          </cell>
          <cell r="D37">
            <v>724440000</v>
          </cell>
          <cell r="E37">
            <v>10.019034863003208</v>
          </cell>
          <cell r="O37">
            <v>915434</v>
          </cell>
          <cell r="P37">
            <v>11142810000</v>
          </cell>
          <cell r="Q37">
            <v>87.082262761015912</v>
          </cell>
          <cell r="AA37">
            <v>1020757</v>
          </cell>
          <cell r="AB37">
            <v>11867250000</v>
          </cell>
          <cell r="AC37">
            <v>97.101297624019125</v>
          </cell>
          <cell r="AD37">
            <v>1051229</v>
          </cell>
          <cell r="AE37">
            <v>16483.587257467581</v>
          </cell>
          <cell r="AF37">
            <v>16825737.078170836</v>
          </cell>
        </row>
        <row r="38">
          <cell r="B38" t="str">
            <v>CIA. DE CEMENTO ARGOS S.A.</v>
          </cell>
          <cell r="R38">
            <v>3244408</v>
          </cell>
          <cell r="S38">
            <v>1166591173</v>
          </cell>
          <cell r="T38">
            <v>1.9931782408086598</v>
          </cell>
          <cell r="AA38">
            <v>3244408</v>
          </cell>
          <cell r="AB38">
            <v>1166591173</v>
          </cell>
          <cell r="AC38">
            <v>1.9931782408086598</v>
          </cell>
          <cell r="AD38">
            <v>162775608</v>
          </cell>
          <cell r="AE38">
            <v>4802</v>
          </cell>
          <cell r="AF38">
            <v>15579647.216</v>
          </cell>
        </row>
        <row r="39">
          <cell r="B39" t="str">
            <v>CORP. FINANCIERA DEL VALLE S.A.</v>
          </cell>
          <cell r="O39">
            <v>1814087</v>
          </cell>
          <cell r="P39">
            <v>8623990000</v>
          </cell>
          <cell r="Q39">
            <v>2.9636519314936516</v>
          </cell>
          <cell r="AA39">
            <v>1814087</v>
          </cell>
          <cell r="AB39">
            <v>8623990000</v>
          </cell>
          <cell r="AC39">
            <v>2.9636519314936516</v>
          </cell>
          <cell r="AD39">
            <v>61211203</v>
          </cell>
          <cell r="AE39">
            <v>6680.3</v>
          </cell>
          <cell r="AF39">
            <v>12118645.3861</v>
          </cell>
        </row>
        <row r="40">
          <cell r="B40" t="str">
            <v>COMERCIALIZA. INT. DEL MAR CARIBE S.A.</v>
          </cell>
          <cell r="F40">
            <v>949750</v>
          </cell>
          <cell r="G40">
            <v>3192682230</v>
          </cell>
          <cell r="H40">
            <v>37.99</v>
          </cell>
          <cell r="R40">
            <v>949750</v>
          </cell>
          <cell r="S40">
            <v>3852758412</v>
          </cell>
          <cell r="T40">
            <v>37.99</v>
          </cell>
          <cell r="X40">
            <v>250000</v>
          </cell>
          <cell r="Z40">
            <v>10</v>
          </cell>
          <cell r="AA40">
            <v>2149500</v>
          </cell>
          <cell r="AB40">
            <v>7045440642</v>
          </cell>
          <cell r="AC40">
            <v>85.98</v>
          </cell>
          <cell r="AD40">
            <v>2500000</v>
          </cell>
          <cell r="AE40">
            <v>5311.32</v>
          </cell>
          <cell r="AF40">
            <v>11416682.34</v>
          </cell>
        </row>
        <row r="41">
          <cell r="B41" t="str">
            <v>CORFINSURA</v>
          </cell>
          <cell r="C41">
            <v>4108220</v>
          </cell>
          <cell r="D41">
            <v>7716777019</v>
          </cell>
          <cell r="E41">
            <v>3.1700388541225699</v>
          </cell>
          <cell r="F41">
            <v>1082537</v>
          </cell>
          <cell r="G41">
            <v>632377707</v>
          </cell>
          <cell r="H41">
            <v>0.83532146550702857</v>
          </cell>
          <cell r="I41">
            <v>2866396</v>
          </cell>
          <cell r="J41">
            <v>4465347340</v>
          </cell>
          <cell r="K41">
            <v>2.2118062546069877</v>
          </cell>
          <cell r="O41">
            <v>1276092</v>
          </cell>
          <cell r="P41">
            <v>1701420000</v>
          </cell>
          <cell r="Q41">
            <v>0.98467492525594513</v>
          </cell>
          <cell r="AA41">
            <v>9333245</v>
          </cell>
          <cell r="AB41">
            <v>14515922066</v>
          </cell>
          <cell r="AC41">
            <v>7.2018414994925308</v>
          </cell>
          <cell r="AD41">
            <v>129595257</v>
          </cell>
          <cell r="AE41">
            <v>1126.94</v>
          </cell>
          <cell r="AF41">
            <v>10518007.120300001</v>
          </cell>
        </row>
        <row r="42">
          <cell r="B42" t="str">
            <v>CÍA. DE INVERSIONES LA MERCED S.A.</v>
          </cell>
          <cell r="C42">
            <v>39620</v>
          </cell>
          <cell r="D42">
            <v>102016726</v>
          </cell>
          <cell r="E42">
            <v>33.016666666666666</v>
          </cell>
          <cell r="AA42">
            <v>39620</v>
          </cell>
          <cell r="AB42">
            <v>102016726</v>
          </cell>
          <cell r="AC42">
            <v>33.016666666666666</v>
          </cell>
          <cell r="AD42">
            <v>120000</v>
          </cell>
          <cell r="AE42">
            <v>252259.59</v>
          </cell>
          <cell r="AF42">
            <v>9994524.9557999987</v>
          </cell>
        </row>
        <row r="43">
          <cell r="B43" t="str">
            <v>ENKA DE COLOMBIA S.A.</v>
          </cell>
          <cell r="O43">
            <v>107921200</v>
          </cell>
          <cell r="P43">
            <v>1226170000</v>
          </cell>
          <cell r="Q43">
            <v>2.4589252160488333</v>
          </cell>
          <cell r="AA43">
            <v>107921200</v>
          </cell>
          <cell r="AB43">
            <v>1226170000</v>
          </cell>
          <cell r="AC43">
            <v>2.4589252160488333</v>
          </cell>
          <cell r="AD43">
            <v>4388958204</v>
          </cell>
          <cell r="AE43">
            <v>85.98</v>
          </cell>
          <cell r="AF43">
            <v>9279064.7760000005</v>
          </cell>
        </row>
        <row r="44">
          <cell r="B44" t="str">
            <v>CIA. COLOMBIANA DE TABACO S.A.</v>
          </cell>
          <cell r="C44">
            <v>1155559</v>
          </cell>
          <cell r="D44">
            <v>251329615</v>
          </cell>
          <cell r="E44">
            <v>1.8186324434355892</v>
          </cell>
          <cell r="L44">
            <v>184636</v>
          </cell>
          <cell r="M44">
            <v>592681560</v>
          </cell>
          <cell r="N44">
            <v>0.29058232407533791</v>
          </cell>
          <cell r="O44">
            <v>1786002</v>
          </cell>
          <cell r="P44">
            <v>3267150000</v>
          </cell>
          <cell r="Q44">
            <v>2.8108311053272477</v>
          </cell>
          <cell r="AA44">
            <v>3126197</v>
          </cell>
          <cell r="AB44">
            <v>4111161175</v>
          </cell>
          <cell r="AC44">
            <v>4.9200458728381751</v>
          </cell>
          <cell r="AD44">
            <v>63539997</v>
          </cell>
          <cell r="AE44">
            <v>2537.06</v>
          </cell>
          <cell r="AF44">
            <v>7931349.3608200001</v>
          </cell>
        </row>
        <row r="45">
          <cell r="B45" t="str">
            <v>CONCRETOS DE OCCIDENTE LTDA</v>
          </cell>
          <cell r="C45">
            <v>200550</v>
          </cell>
          <cell r="D45">
            <v>329897838</v>
          </cell>
          <cell r="E45">
            <v>10</v>
          </cell>
          <cell r="O45">
            <v>802200</v>
          </cell>
          <cell r="P45">
            <v>1423550000</v>
          </cell>
          <cell r="Q45">
            <v>40</v>
          </cell>
          <cell r="AA45">
            <v>1002750</v>
          </cell>
          <cell r="AB45">
            <v>1753447838</v>
          </cell>
          <cell r="AC45">
            <v>50</v>
          </cell>
          <cell r="AD45">
            <v>2005500</v>
          </cell>
          <cell r="AE45">
            <v>7714.918972824732</v>
          </cell>
          <cell r="AF45">
            <v>7736135</v>
          </cell>
        </row>
        <row r="46">
          <cell r="B46" t="str">
            <v>CANTERAS  y  DERIVADOS S.A.</v>
          </cell>
          <cell r="C46">
            <v>30000</v>
          </cell>
          <cell r="D46">
            <v>10760552443</v>
          </cell>
          <cell r="E46">
            <v>50</v>
          </cell>
          <cell r="AA46">
            <v>30000</v>
          </cell>
          <cell r="AB46">
            <v>10760552443</v>
          </cell>
          <cell r="AC46">
            <v>50</v>
          </cell>
          <cell r="AD46">
            <v>60000</v>
          </cell>
          <cell r="AE46">
            <v>213442.58</v>
          </cell>
          <cell r="AF46">
            <v>6403277.4000000004</v>
          </cell>
        </row>
        <row r="47">
          <cell r="B47" t="str">
            <v>PROMOTORA DE HOTELES  MEDELLÍN S.A.</v>
          </cell>
          <cell r="C47">
            <v>4219382</v>
          </cell>
          <cell r="D47">
            <v>556743886</v>
          </cell>
          <cell r="E47">
            <v>20.852246422278125</v>
          </cell>
          <cell r="AA47">
            <v>4219382</v>
          </cell>
          <cell r="AB47">
            <v>556743886</v>
          </cell>
          <cell r="AC47">
            <v>20.852246422278125</v>
          </cell>
          <cell r="AD47">
            <v>20234664</v>
          </cell>
          <cell r="AE47">
            <v>1504.67</v>
          </cell>
          <cell r="AF47">
            <v>6348777.5139400009</v>
          </cell>
        </row>
        <row r="48">
          <cell r="B48" t="str">
            <v xml:space="preserve">METROCONCRETO </v>
          </cell>
          <cell r="I48">
            <v>10257</v>
          </cell>
          <cell r="J48">
            <v>76207504</v>
          </cell>
          <cell r="K48">
            <v>0.54732986589697907</v>
          </cell>
          <cell r="L48">
            <v>129838</v>
          </cell>
          <cell r="M48">
            <v>27234743</v>
          </cell>
          <cell r="N48">
            <v>6.9283625941632021</v>
          </cell>
          <cell r="U48">
            <v>824938</v>
          </cell>
          <cell r="V48">
            <v>3991621711</v>
          </cell>
          <cell r="W48">
            <v>44.020006328685007</v>
          </cell>
          <cell r="AA48">
            <v>965033</v>
          </cell>
          <cell r="AB48">
            <v>4095063958</v>
          </cell>
          <cell r="AC48">
            <v>51.495698788745187</v>
          </cell>
          <cell r="AD48">
            <v>1874007</v>
          </cell>
          <cell r="AE48">
            <v>6392.786199288902</v>
          </cell>
          <cell r="AF48">
            <v>6169249.6442583669</v>
          </cell>
        </row>
        <row r="49">
          <cell r="B49" t="str">
            <v>HOTEL DE PEREIRA S.A.</v>
          </cell>
          <cell r="C49">
            <v>2266468</v>
          </cell>
          <cell r="D49">
            <v>1853807379</v>
          </cell>
          <cell r="E49">
            <v>31.708924610879901</v>
          </cell>
          <cell r="AA49">
            <v>2266468</v>
          </cell>
          <cell r="AB49">
            <v>1853807379</v>
          </cell>
          <cell r="AC49">
            <v>31.708924610879901</v>
          </cell>
          <cell r="AD49">
            <v>7147729</v>
          </cell>
          <cell r="AE49">
            <v>2444.9</v>
          </cell>
          <cell r="AF49">
            <v>5541287.6131999996</v>
          </cell>
        </row>
        <row r="50">
          <cell r="B50" t="str">
            <v>TEMPO LTDA</v>
          </cell>
          <cell r="L50">
            <v>200</v>
          </cell>
          <cell r="M50">
            <v>14671159</v>
          </cell>
          <cell r="N50">
            <v>20</v>
          </cell>
          <cell r="O50">
            <v>400</v>
          </cell>
          <cell r="P50">
            <v>1716470000</v>
          </cell>
          <cell r="Q50">
            <v>40</v>
          </cell>
          <cell r="AA50">
            <v>600</v>
          </cell>
          <cell r="AB50">
            <v>1731141159</v>
          </cell>
          <cell r="AC50">
            <v>60</v>
          </cell>
          <cell r="AD50">
            <v>1000</v>
          </cell>
          <cell r="AE50">
            <v>7584495</v>
          </cell>
          <cell r="AF50">
            <v>4550697</v>
          </cell>
        </row>
        <row r="51">
          <cell r="B51" t="str">
            <v>TLC  INTERNATIONAL  LDC</v>
          </cell>
          <cell r="C51">
            <v>1</v>
          </cell>
          <cell r="D51">
            <v>2853387050</v>
          </cell>
          <cell r="E51">
            <v>5</v>
          </cell>
          <cell r="AA51">
            <v>1</v>
          </cell>
          <cell r="AB51">
            <v>2853387050</v>
          </cell>
          <cell r="AC51">
            <v>5</v>
          </cell>
          <cell r="AD51">
            <v>20</v>
          </cell>
          <cell r="AE51">
            <v>4379872.1679999996</v>
          </cell>
          <cell r="AF51">
            <v>4379872.1679999996</v>
          </cell>
        </row>
        <row r="52">
          <cell r="B52" t="str">
            <v>C O L O M B A T E S</v>
          </cell>
          <cell r="C52">
            <v>2402</v>
          </cell>
          <cell r="D52">
            <v>16230042</v>
          </cell>
          <cell r="E52">
            <v>4.3987034629259982</v>
          </cell>
          <cell r="F52">
            <v>75</v>
          </cell>
          <cell r="G52">
            <v>602525</v>
          </cell>
          <cell r="H52">
            <v>0.13734502902558282</v>
          </cell>
          <cell r="I52">
            <v>24</v>
          </cell>
          <cell r="J52">
            <v>166043</v>
          </cell>
          <cell r="K52">
            <v>4.3950409288186498E-2</v>
          </cell>
          <cell r="L52">
            <v>246</v>
          </cell>
          <cell r="M52">
            <v>138990507</v>
          </cell>
          <cell r="N52">
            <v>0.45049169520391164</v>
          </cell>
          <cell r="O52">
            <v>3126</v>
          </cell>
          <cell r="P52">
            <v>25540000</v>
          </cell>
          <cell r="Q52">
            <v>5.7245408097862907</v>
          </cell>
          <cell r="X52">
            <v>32</v>
          </cell>
          <cell r="Z52">
            <v>5.8600545717581998E-2</v>
          </cell>
          <cell r="AA52">
            <v>5905</v>
          </cell>
          <cell r="AB52">
            <v>181529117</v>
          </cell>
          <cell r="AC52">
            <v>10.813631951947551</v>
          </cell>
          <cell r="AD52">
            <v>54607</v>
          </cell>
          <cell r="AE52">
            <v>695775.03</v>
          </cell>
          <cell r="AF52">
            <v>4108551.5521499999</v>
          </cell>
        </row>
        <row r="53">
          <cell r="B53" t="str">
            <v>COLOIDALES S.A.</v>
          </cell>
          <cell r="I53">
            <v>215928</v>
          </cell>
          <cell r="J53">
            <v>3371482590</v>
          </cell>
          <cell r="K53">
            <v>24.209997578192972</v>
          </cell>
          <cell r="L53">
            <v>18804</v>
          </cell>
          <cell r="M53">
            <v>226100000</v>
          </cell>
          <cell r="N53">
            <v>2.1083175616888066</v>
          </cell>
          <cell r="O53">
            <v>222258</v>
          </cell>
          <cell r="P53">
            <v>4309430000</v>
          </cell>
          <cell r="Q53">
            <v>24.919721581888471</v>
          </cell>
          <cell r="AA53">
            <v>456990</v>
          </cell>
          <cell r="AB53">
            <v>7907012590</v>
          </cell>
          <cell r="AC53">
            <v>51.23803672177025</v>
          </cell>
          <cell r="AD53">
            <v>891896</v>
          </cell>
          <cell r="AE53">
            <v>8488</v>
          </cell>
          <cell r="AF53">
            <v>3878931.12</v>
          </cell>
        </row>
        <row r="54">
          <cell r="B54" t="str">
            <v>INDUSTRIAS ALIMENTICIAS NOEL S.A.</v>
          </cell>
          <cell r="O54">
            <v>1004366</v>
          </cell>
          <cell r="P54">
            <v>2481850000</v>
          </cell>
          <cell r="Q54">
            <v>1.6833366322976595</v>
          </cell>
          <cell r="AA54">
            <v>1004366</v>
          </cell>
          <cell r="AB54">
            <v>2481850000</v>
          </cell>
          <cell r="AC54">
            <v>1.6833366322976595</v>
          </cell>
          <cell r="AD54">
            <v>59665190</v>
          </cell>
          <cell r="AE54">
            <v>3750</v>
          </cell>
          <cell r="AF54">
            <v>3766372.5</v>
          </cell>
        </row>
        <row r="55">
          <cell r="B55" t="str">
            <v xml:space="preserve">SETAS COLOMBIANAS S.A. </v>
          </cell>
          <cell r="C55">
            <v>41418101</v>
          </cell>
          <cell r="D55">
            <v>3747266152</v>
          </cell>
          <cell r="E55">
            <v>16.139607993499936</v>
          </cell>
          <cell r="O55">
            <v>4743825</v>
          </cell>
          <cell r="P55">
            <v>1520280000</v>
          </cell>
          <cell r="Q55">
            <v>1.8485510933918683</v>
          </cell>
          <cell r="AA55">
            <v>46161926</v>
          </cell>
          <cell r="AB55">
            <v>5267546152</v>
          </cell>
          <cell r="AC55">
            <v>17.988159086891805</v>
          </cell>
          <cell r="AD55">
            <v>256623959</v>
          </cell>
          <cell r="AE55">
            <v>75.209999999999994</v>
          </cell>
          <cell r="AF55">
            <v>3471838.4544599997</v>
          </cell>
        </row>
        <row r="56">
          <cell r="B56" t="str">
            <v>D I C E N T E  LTDA.</v>
          </cell>
          <cell r="I56">
            <v>400</v>
          </cell>
          <cell r="J56">
            <v>90111376</v>
          </cell>
          <cell r="K56">
            <v>40</v>
          </cell>
          <cell r="L56">
            <v>100</v>
          </cell>
          <cell r="M56">
            <v>22060178</v>
          </cell>
          <cell r="N56">
            <v>10</v>
          </cell>
          <cell r="O56">
            <v>400</v>
          </cell>
          <cell r="P56">
            <v>92920000</v>
          </cell>
          <cell r="Q56">
            <v>40</v>
          </cell>
          <cell r="AA56">
            <v>900</v>
          </cell>
          <cell r="AB56">
            <v>205091554</v>
          </cell>
          <cell r="AC56">
            <v>90</v>
          </cell>
          <cell r="AD56">
            <v>1000</v>
          </cell>
          <cell r="AE56">
            <v>3744716</v>
          </cell>
          <cell r="AF56">
            <v>3370244.4</v>
          </cell>
        </row>
        <row r="57">
          <cell r="B57" t="str">
            <v>OCCIDENTAL DE EMPAQUES  S.A.</v>
          </cell>
          <cell r="C57">
            <v>1075500</v>
          </cell>
          <cell r="D57">
            <v>134612672</v>
          </cell>
          <cell r="E57">
            <v>49.791666666666664</v>
          </cell>
          <cell r="I57">
            <v>2250</v>
          </cell>
          <cell r="J57">
            <v>2222598</v>
          </cell>
          <cell r="K57">
            <v>0.10416666666666667</v>
          </cell>
          <cell r="L57">
            <v>2250</v>
          </cell>
          <cell r="M57">
            <v>3019520</v>
          </cell>
          <cell r="N57">
            <v>0.10416666666666667</v>
          </cell>
          <cell r="AA57">
            <v>1080000</v>
          </cell>
          <cell r="AB57">
            <v>139854790</v>
          </cell>
          <cell r="AC57">
            <v>49.999999999999993</v>
          </cell>
          <cell r="AD57">
            <v>2160000</v>
          </cell>
          <cell r="AE57">
            <v>2820.56</v>
          </cell>
          <cell r="AF57">
            <v>3046204.8</v>
          </cell>
        </row>
        <row r="58">
          <cell r="B58" t="str">
            <v>PROYECTO ENERGÉTICO DEL CAUCA S.A..</v>
          </cell>
          <cell r="O58">
            <v>20776</v>
          </cell>
          <cell r="Q58">
            <v>2.0775999999999999</v>
          </cell>
          <cell r="AA58">
            <v>20776</v>
          </cell>
          <cell r="AB58">
            <v>0</v>
          </cell>
          <cell r="AC58">
            <v>2.0775999999999999</v>
          </cell>
          <cell r="AD58">
            <v>1000000</v>
          </cell>
          <cell r="AE58">
            <v>144397.3815941471</v>
          </cell>
          <cell r="AF58">
            <v>3000000</v>
          </cell>
        </row>
        <row r="59">
          <cell r="B59" t="str">
            <v>ETERNIT PACIFICO  S.A.</v>
          </cell>
          <cell r="C59">
            <v>806313</v>
          </cell>
          <cell r="D59">
            <v>1099479189</v>
          </cell>
          <cell r="E59">
            <v>15.976949020622671</v>
          </cell>
          <cell r="AA59">
            <v>806313</v>
          </cell>
          <cell r="AB59">
            <v>1099479189</v>
          </cell>
          <cell r="AC59">
            <v>15.976949020622671</v>
          </cell>
          <cell r="AD59">
            <v>5046727</v>
          </cell>
          <cell r="AE59">
            <v>3701.07</v>
          </cell>
          <cell r="AF59">
            <v>2984220.8549100002</v>
          </cell>
        </row>
        <row r="60">
          <cell r="B60" t="str">
            <v>REFORESTADORA EL GUASIMO</v>
          </cell>
          <cell r="C60">
            <v>21433751</v>
          </cell>
          <cell r="D60">
            <v>225279169</v>
          </cell>
          <cell r="E60">
            <v>7.5756098579926006</v>
          </cell>
          <cell r="K60">
            <v>0</v>
          </cell>
          <cell r="L60">
            <v>1761591</v>
          </cell>
          <cell r="M60">
            <v>4615047</v>
          </cell>
          <cell r="N60">
            <v>0.62262205739681498</v>
          </cell>
          <cell r="AA60">
            <v>23195342</v>
          </cell>
          <cell r="AB60">
            <v>229894216</v>
          </cell>
          <cell r="AC60">
            <v>8.1982319153894156</v>
          </cell>
          <cell r="AD60">
            <v>282931030</v>
          </cell>
          <cell r="AE60">
            <v>118.37</v>
          </cell>
          <cell r="AF60">
            <v>2745632.6325400001</v>
          </cell>
        </row>
        <row r="61">
          <cell r="B61" t="str">
            <v>REFORESTADORA DEL CARIBE S.A.</v>
          </cell>
          <cell r="F61">
            <v>217244</v>
          </cell>
          <cell r="G61">
            <v>211858747</v>
          </cell>
          <cell r="H61">
            <v>43.448799999999999</v>
          </cell>
          <cell r="R61">
            <v>148000</v>
          </cell>
          <cell r="S61">
            <v>191696345</v>
          </cell>
          <cell r="T61">
            <v>29.599999999999998</v>
          </cell>
          <cell r="X61">
            <v>72443</v>
          </cell>
          <cell r="Z61">
            <v>14.488599999999998</v>
          </cell>
          <cell r="AA61">
            <v>437687</v>
          </cell>
          <cell r="AB61">
            <v>403555092</v>
          </cell>
          <cell r="AC61">
            <v>87.537399999999991</v>
          </cell>
          <cell r="AD61">
            <v>500000</v>
          </cell>
          <cell r="AE61">
            <v>5921.1301531918025</v>
          </cell>
          <cell r="AF61">
            <v>2591601.6933600609</v>
          </cell>
        </row>
        <row r="62">
          <cell r="B62" t="str">
            <v>DISTRIBUÍDORA COL. DE CEMENTO S.A.</v>
          </cell>
          <cell r="F62">
            <v>133067</v>
          </cell>
          <cell r="G62">
            <v>2236821227</v>
          </cell>
          <cell r="H62">
            <v>66.533500000000004</v>
          </cell>
          <cell r="X62">
            <v>66733</v>
          </cell>
          <cell r="Z62">
            <v>33.366500000000002</v>
          </cell>
          <cell r="AA62">
            <v>199800</v>
          </cell>
          <cell r="AB62">
            <v>2236821227</v>
          </cell>
          <cell r="AC62">
            <v>99.9</v>
          </cell>
          <cell r="AD62">
            <v>200000</v>
          </cell>
          <cell r="AE62">
            <v>12505.14</v>
          </cell>
          <cell r="AF62">
            <v>2498526.9720000001</v>
          </cell>
        </row>
        <row r="63">
          <cell r="B63" t="str">
            <v>TRANSATLANTIC CEMENT CARRIER</v>
          </cell>
          <cell r="F63">
            <v>4800</v>
          </cell>
          <cell r="G63">
            <v>527369979</v>
          </cell>
          <cell r="H63">
            <v>48</v>
          </cell>
          <cell r="AA63">
            <v>4800</v>
          </cell>
          <cell r="AB63">
            <v>527369979</v>
          </cell>
          <cell r="AC63">
            <v>48</v>
          </cell>
          <cell r="AD63">
            <v>10000</v>
          </cell>
          <cell r="AE63">
            <v>501552.01583333331</v>
          </cell>
          <cell r="AF63">
            <v>2407449.676</v>
          </cell>
        </row>
        <row r="64">
          <cell r="B64" t="str">
            <v xml:space="preserve">VIAS EN HORMIGON S.A.   </v>
          </cell>
          <cell r="C64">
            <v>638000</v>
          </cell>
          <cell r="D64">
            <v>659145939</v>
          </cell>
          <cell r="E64">
            <v>28.999999999999996</v>
          </cell>
          <cell r="I64">
            <v>638000</v>
          </cell>
          <cell r="J64">
            <v>765633028</v>
          </cell>
          <cell r="K64">
            <v>28.999999999999996</v>
          </cell>
          <cell r="L64">
            <v>220000</v>
          </cell>
          <cell r="M64">
            <v>263104800</v>
          </cell>
          <cell r="N64">
            <v>10</v>
          </cell>
          <cell r="U64">
            <v>638000</v>
          </cell>
          <cell r="V64">
            <v>629601310</v>
          </cell>
          <cell r="W64">
            <v>28.999999999999996</v>
          </cell>
          <cell r="AA64">
            <v>2134000</v>
          </cell>
          <cell r="AB64">
            <v>2317485077</v>
          </cell>
          <cell r="AC64">
            <v>97</v>
          </cell>
          <cell r="AD64">
            <v>2200000</v>
          </cell>
          <cell r="AE64">
            <v>1013.91</v>
          </cell>
          <cell r="AF64">
            <v>2163683.94</v>
          </cell>
        </row>
        <row r="65">
          <cell r="B65" t="str">
            <v>D I S C E M E N T O</v>
          </cell>
          <cell r="F65">
            <v>32500</v>
          </cell>
          <cell r="G65">
            <v>343295773</v>
          </cell>
          <cell r="H65">
            <v>65</v>
          </cell>
          <cell r="L65">
            <v>20</v>
          </cell>
          <cell r="M65">
            <v>73358</v>
          </cell>
          <cell r="N65">
            <v>0.04</v>
          </cell>
          <cell r="X65">
            <v>15000</v>
          </cell>
          <cell r="Z65">
            <v>30</v>
          </cell>
          <cell r="AA65">
            <v>47520</v>
          </cell>
          <cell r="AB65">
            <v>343369131</v>
          </cell>
          <cell r="AC65">
            <v>95.04</v>
          </cell>
          <cell r="AD65">
            <v>50000</v>
          </cell>
          <cell r="AE65">
            <v>43725.7</v>
          </cell>
          <cell r="AF65">
            <v>2077845.2639999997</v>
          </cell>
        </row>
        <row r="66">
          <cell r="B66" t="str">
            <v>PROMOTORA NAL. DE ZONAS FRANCAS S.A.</v>
          </cell>
          <cell r="C66">
            <v>63940688</v>
          </cell>
          <cell r="D66">
            <v>923277448</v>
          </cell>
          <cell r="E66">
            <v>16.7686451487262</v>
          </cell>
          <cell r="O66" t="str">
            <v xml:space="preserve"> </v>
          </cell>
          <cell r="AA66">
            <v>63940688</v>
          </cell>
          <cell r="AB66">
            <v>923277448</v>
          </cell>
          <cell r="AC66">
            <v>16.7686451487262</v>
          </cell>
          <cell r="AD66">
            <v>381310997</v>
          </cell>
          <cell r="AE66">
            <v>26.54</v>
          </cell>
          <cell r="AF66">
            <v>1696985.8595199999</v>
          </cell>
        </row>
        <row r="67">
          <cell r="B67" t="str">
            <v>URBANIZADORA VILLA SANTOS LTDA</v>
          </cell>
          <cell r="F67">
            <v>9000</v>
          </cell>
          <cell r="G67">
            <v>781801221</v>
          </cell>
          <cell r="H67">
            <v>90</v>
          </cell>
          <cell r="AA67">
            <v>9000</v>
          </cell>
          <cell r="AB67">
            <v>781801221</v>
          </cell>
          <cell r="AC67">
            <v>90</v>
          </cell>
          <cell r="AD67">
            <v>10000</v>
          </cell>
          <cell r="AE67">
            <v>176113.63</v>
          </cell>
          <cell r="AF67">
            <v>1585022.67</v>
          </cell>
        </row>
        <row r="68">
          <cell r="B68" t="str">
            <v xml:space="preserve">C O N C R E N A L   </v>
          </cell>
          <cell r="D68">
            <v>0</v>
          </cell>
          <cell r="L68">
            <v>400000</v>
          </cell>
          <cell r="M68">
            <v>1076206578</v>
          </cell>
          <cell r="N68">
            <v>6.666666666666667</v>
          </cell>
          <cell r="O68">
            <v>800000</v>
          </cell>
          <cell r="P68">
            <v>1106300000</v>
          </cell>
          <cell r="Q68">
            <v>13.333333333333334</v>
          </cell>
          <cell r="U68">
            <v>600000</v>
          </cell>
          <cell r="V68">
            <v>50179509</v>
          </cell>
          <cell r="W68">
            <v>10</v>
          </cell>
          <cell r="AA68">
            <v>1800000</v>
          </cell>
          <cell r="AB68">
            <v>2232686087</v>
          </cell>
          <cell r="AC68">
            <v>30</v>
          </cell>
          <cell r="AD68">
            <v>6000000</v>
          </cell>
          <cell r="AE68">
            <v>878.47</v>
          </cell>
          <cell r="AF68">
            <v>1581246</v>
          </cell>
        </row>
        <row r="69">
          <cell r="B69" t="str">
            <v>ANTIOQUIA CELULAR  S.A. - ANCEL</v>
          </cell>
          <cell r="C69">
            <v>471212</v>
          </cell>
          <cell r="D69">
            <v>1376094451</v>
          </cell>
          <cell r="E69">
            <v>3.1306979976533653</v>
          </cell>
          <cell r="AA69">
            <v>471212</v>
          </cell>
          <cell r="AB69">
            <v>1376094451</v>
          </cell>
          <cell r="AC69">
            <v>3.1306979976533653</v>
          </cell>
          <cell r="AD69">
            <v>15051340</v>
          </cell>
          <cell r="AE69">
            <v>3175.11</v>
          </cell>
          <cell r="AF69">
            <v>1496149.9333200001</v>
          </cell>
        </row>
        <row r="70">
          <cell r="B70" t="str">
            <v>C E M C A R</v>
          </cell>
          <cell r="R70">
            <v>202335</v>
          </cell>
          <cell r="S70">
            <v>881425724</v>
          </cell>
          <cell r="T70">
            <v>90.826046361302133</v>
          </cell>
          <cell r="AA70">
            <v>202335</v>
          </cell>
          <cell r="AB70">
            <v>881425724</v>
          </cell>
          <cell r="AC70">
            <v>90.826046361302133</v>
          </cell>
          <cell r="AD70">
            <v>222772</v>
          </cell>
          <cell r="AE70">
            <v>6613.0649022660436</v>
          </cell>
          <cell r="AF70">
            <v>1338054.487</v>
          </cell>
        </row>
        <row r="71">
          <cell r="B71" t="str">
            <v>CANTERAS  DE COLOMBIA S.A.</v>
          </cell>
          <cell r="C71">
            <v>50000</v>
          </cell>
          <cell r="D71">
            <v>54549428</v>
          </cell>
          <cell r="E71">
            <v>50</v>
          </cell>
          <cell r="AA71">
            <v>50000</v>
          </cell>
          <cell r="AB71">
            <v>54549428</v>
          </cell>
          <cell r="AC71">
            <v>50</v>
          </cell>
          <cell r="AD71">
            <v>100000</v>
          </cell>
          <cell r="AE71">
            <v>24188.41</v>
          </cell>
          <cell r="AF71">
            <v>1209420.5</v>
          </cell>
        </row>
        <row r="72">
          <cell r="B72" t="str">
            <v>SUCROMILES S.A.</v>
          </cell>
          <cell r="O72">
            <v>8716</v>
          </cell>
          <cell r="P72">
            <v>55610000</v>
          </cell>
          <cell r="Q72">
            <v>1.3206060606060606</v>
          </cell>
          <cell r="AA72">
            <v>8716</v>
          </cell>
          <cell r="AB72">
            <v>55610000</v>
          </cell>
          <cell r="AC72">
            <v>1.3206060606060606</v>
          </cell>
          <cell r="AD72">
            <v>660000</v>
          </cell>
          <cell r="AE72">
            <v>131219.81</v>
          </cell>
          <cell r="AF72">
            <v>1143711.86396</v>
          </cell>
        </row>
        <row r="73">
          <cell r="B73" t="str">
            <v>TRANSMETANO</v>
          </cell>
          <cell r="C73">
            <v>31764859</v>
          </cell>
          <cell r="D73">
            <v>1347539600</v>
          </cell>
          <cell r="E73">
            <v>2.1665026312589646</v>
          </cell>
          <cell r="AA73">
            <v>31764859</v>
          </cell>
          <cell r="AB73">
            <v>1347539600</v>
          </cell>
          <cell r="AC73">
            <v>2.1665026312589646</v>
          </cell>
          <cell r="AD73">
            <v>1466181418</v>
          </cell>
          <cell r="AE73">
            <v>27.03</v>
          </cell>
          <cell r="AF73">
            <v>858604.13876999996</v>
          </cell>
        </row>
        <row r="74">
          <cell r="B74" t="str">
            <v>PROELECTRICA S.A.</v>
          </cell>
          <cell r="R74">
            <v>25008</v>
          </cell>
          <cell r="S74">
            <v>307151058</v>
          </cell>
          <cell r="T74">
            <v>13.770015197233661</v>
          </cell>
          <cell r="AA74">
            <v>25008</v>
          </cell>
          <cell r="AB74">
            <v>307151058</v>
          </cell>
          <cell r="AC74">
            <v>13.770015197233661</v>
          </cell>
          <cell r="AD74">
            <v>181612</v>
          </cell>
          <cell r="AE74">
            <v>32861.78</v>
          </cell>
          <cell r="AF74">
            <v>821807.39424000005</v>
          </cell>
        </row>
        <row r="75">
          <cell r="B75" t="str">
            <v>SOCIEDAD REGIONAL DE BUENAVENTURA</v>
          </cell>
          <cell r="I75">
            <v>34715</v>
          </cell>
          <cell r="J75">
            <v>26364319</v>
          </cell>
          <cell r="K75">
            <v>0.19800252158763632</v>
          </cell>
          <cell r="L75">
            <v>59002</v>
          </cell>
          <cell r="M75">
            <v>137360463</v>
          </cell>
          <cell r="N75">
            <v>0.33652728730271403</v>
          </cell>
          <cell r="O75">
            <v>176321</v>
          </cell>
          <cell r="P75">
            <v>81547000</v>
          </cell>
          <cell r="Q75">
            <v>1.0056748555049293</v>
          </cell>
          <cell r="AA75">
            <v>270038</v>
          </cell>
          <cell r="AB75">
            <v>245271782</v>
          </cell>
          <cell r="AC75">
            <v>1.5402046643952796</v>
          </cell>
          <cell r="AD75">
            <v>17532605</v>
          </cell>
          <cell r="AE75">
            <v>3020.01</v>
          </cell>
          <cell r="AF75">
            <v>815517.46038000006</v>
          </cell>
        </row>
        <row r="76">
          <cell r="B76" t="str">
            <v>PIEDRAS Y DERIVADOS</v>
          </cell>
          <cell r="C76">
            <v>99868</v>
          </cell>
          <cell r="D76">
            <v>771858924</v>
          </cell>
          <cell r="E76">
            <v>76.947021296267764</v>
          </cell>
          <cell r="L76">
            <v>650</v>
          </cell>
          <cell r="N76">
            <v>0.50081671649150916</v>
          </cell>
          <cell r="U76">
            <v>1663</v>
          </cell>
          <cell r="V76">
            <v>564483</v>
          </cell>
          <cell r="W76">
            <v>1.2813203069621228</v>
          </cell>
          <cell r="AA76">
            <v>102181</v>
          </cell>
          <cell r="AB76">
            <v>772423407</v>
          </cell>
          <cell r="AC76">
            <v>78.729158319721407</v>
          </cell>
          <cell r="AD76">
            <v>129788</v>
          </cell>
          <cell r="AE76">
            <v>6733.75</v>
          </cell>
          <cell r="AF76">
            <v>688061.30874999997</v>
          </cell>
        </row>
        <row r="77">
          <cell r="B77" t="str">
            <v xml:space="preserve">TABLEROS Y MADERAS DE CALDAS S.A. </v>
          </cell>
          <cell r="C77">
            <v>81866333</v>
          </cell>
          <cell r="D77">
            <v>1769370098</v>
          </cell>
          <cell r="E77">
            <v>5.3180679208482795</v>
          </cell>
          <cell r="L77">
            <v>29462347</v>
          </cell>
          <cell r="M77">
            <v>834366909</v>
          </cell>
          <cell r="N77">
            <v>1.9138851920190505</v>
          </cell>
          <cell r="AA77">
            <v>111328680</v>
          </cell>
          <cell r="AB77">
            <v>2603737007</v>
          </cell>
          <cell r="AC77">
            <v>7.2319531128673304</v>
          </cell>
          <cell r="AD77">
            <v>1539399914</v>
          </cell>
          <cell r="AE77">
            <v>6.01</v>
          </cell>
          <cell r="AF77">
            <v>669085.36679999996</v>
          </cell>
        </row>
        <row r="78">
          <cell r="B78" t="str">
            <v>CORP. FINANCIERA COLOMBIANA  S.A.</v>
          </cell>
          <cell r="F78">
            <v>1176367</v>
          </cell>
          <cell r="G78">
            <v>363598916</v>
          </cell>
          <cell r="H78">
            <v>0.6031173737272939</v>
          </cell>
          <cell r="AA78">
            <v>1176367</v>
          </cell>
          <cell r="AB78">
            <v>363598916</v>
          </cell>
          <cell r="AC78">
            <v>0.6031173737272939</v>
          </cell>
          <cell r="AD78">
            <v>195047772</v>
          </cell>
          <cell r="AE78">
            <v>514.0199997109745</v>
          </cell>
          <cell r="AF78">
            <v>604676.16500000004</v>
          </cell>
        </row>
        <row r="79">
          <cell r="B79" t="str">
            <v>PREDIOS DEL SUR</v>
          </cell>
          <cell r="C79">
            <v>401065661</v>
          </cell>
          <cell r="D79">
            <v>484335980</v>
          </cell>
          <cell r="E79">
            <v>5.2186049218975628</v>
          </cell>
          <cell r="AA79">
            <v>401065661</v>
          </cell>
          <cell r="AB79">
            <v>484335980</v>
          </cell>
          <cell r="AC79">
            <v>5.2186049218975628</v>
          </cell>
          <cell r="AD79">
            <v>7685304157</v>
          </cell>
          <cell r="AE79">
            <v>1.43</v>
          </cell>
          <cell r="AF79">
            <v>573523.89523000002</v>
          </cell>
        </row>
        <row r="80">
          <cell r="B80" t="str">
            <v>MERILECTRICA, 1 S.A. &amp; CIA, SCA, ESP.</v>
          </cell>
          <cell r="C80">
            <v>419919</v>
          </cell>
          <cell r="D80">
            <v>277681050</v>
          </cell>
          <cell r="E80">
            <v>4.950027495634</v>
          </cell>
          <cell r="AA80">
            <v>419919</v>
          </cell>
          <cell r="AB80">
            <v>277681050</v>
          </cell>
          <cell r="AC80">
            <v>4.950027495634</v>
          </cell>
          <cell r="AD80">
            <v>8483165</v>
          </cell>
          <cell r="AE80">
            <v>1336.79</v>
          </cell>
          <cell r="AF80">
            <v>561343.52000999998</v>
          </cell>
        </row>
        <row r="81">
          <cell r="B81" t="str">
            <v>CARBONES NECHI  LTDA.</v>
          </cell>
          <cell r="O81">
            <v>29900</v>
          </cell>
          <cell r="P81">
            <v>455990000</v>
          </cell>
          <cell r="Q81">
            <v>46</v>
          </cell>
          <cell r="AA81">
            <v>29900</v>
          </cell>
          <cell r="AB81">
            <v>455990000</v>
          </cell>
          <cell r="AC81">
            <v>46</v>
          </cell>
          <cell r="AD81">
            <v>65000</v>
          </cell>
          <cell r="AE81">
            <v>18755.886287625421</v>
          </cell>
          <cell r="AF81">
            <v>560801.00000000012</v>
          </cell>
        </row>
        <row r="82">
          <cell r="B82" t="str">
            <v xml:space="preserve">S U I N M O B I  L I A R I A </v>
          </cell>
          <cell r="C82">
            <v>5003884</v>
          </cell>
          <cell r="D82">
            <v>2904114036</v>
          </cell>
          <cell r="E82">
            <v>17.705633550844514</v>
          </cell>
          <cell r="AA82">
            <v>5003884</v>
          </cell>
          <cell r="AB82">
            <v>2904114036</v>
          </cell>
          <cell r="AC82">
            <v>17.705633550844514</v>
          </cell>
          <cell r="AD82">
            <v>28261536</v>
          </cell>
          <cell r="AE82">
            <v>102.26</v>
          </cell>
          <cell r="AF82">
            <v>511697.17784000002</v>
          </cell>
        </row>
        <row r="83">
          <cell r="B83" t="str">
            <v>FLOTA FLUVIAL CARBONERA LTDA</v>
          </cell>
          <cell r="F83">
            <v>247745</v>
          </cell>
          <cell r="G83">
            <v>442097095</v>
          </cell>
          <cell r="H83">
            <v>41.290833333333332</v>
          </cell>
          <cell r="X83">
            <v>4510</v>
          </cell>
          <cell r="Z83">
            <v>0.75166666666666659</v>
          </cell>
          <cell r="AA83">
            <v>252255</v>
          </cell>
          <cell r="AB83">
            <v>442097095</v>
          </cell>
          <cell r="AC83">
            <v>42.042499999999997</v>
          </cell>
          <cell r="AD83">
            <v>600000</v>
          </cell>
          <cell r="AE83">
            <v>1886.1599991927183</v>
          </cell>
          <cell r="AF83">
            <v>475793.29059635912</v>
          </cell>
        </row>
        <row r="84">
          <cell r="B84" t="str">
            <v>PROCARBON DE OCCIDENTE</v>
          </cell>
          <cell r="O84">
            <v>1139924</v>
          </cell>
          <cell r="P84">
            <v>397410000</v>
          </cell>
          <cell r="Q84">
            <v>19.405703273824219</v>
          </cell>
          <cell r="AA84">
            <v>1139924</v>
          </cell>
          <cell r="AB84">
            <v>397410000</v>
          </cell>
          <cell r="AC84">
            <v>19.405703273824219</v>
          </cell>
          <cell r="AD84">
            <v>5874170</v>
          </cell>
          <cell r="AE84">
            <v>414.68</v>
          </cell>
          <cell r="AF84">
            <v>472703.68432</v>
          </cell>
        </row>
        <row r="85">
          <cell r="B85" t="str">
            <v>SOC. COL. DE TRANSP. FERROVIARIO  S.A.</v>
          </cell>
          <cell r="C85">
            <v>3330709</v>
          </cell>
          <cell r="D85">
            <v>440453773</v>
          </cell>
          <cell r="E85">
            <v>2.5795680192887689</v>
          </cell>
          <cell r="F85">
            <v>2715000</v>
          </cell>
          <cell r="G85">
            <v>403905064</v>
          </cell>
          <cell r="H85">
            <v>2.1027136181422659</v>
          </cell>
          <cell r="K85">
            <v>0</v>
          </cell>
          <cell r="AA85">
            <v>6045709</v>
          </cell>
          <cell r="AB85">
            <v>844358837</v>
          </cell>
          <cell r="AC85">
            <v>4.6822816374310348</v>
          </cell>
          <cell r="AD85">
            <v>129118867</v>
          </cell>
          <cell r="AE85">
            <v>76.09</v>
          </cell>
          <cell r="AF85">
            <v>460017.99781000003</v>
          </cell>
        </row>
        <row r="86">
          <cell r="B86" t="str">
            <v>SOC. AGREGADOS CALCAREOS  LTDA</v>
          </cell>
          <cell r="L86">
            <v>4000</v>
          </cell>
          <cell r="M86">
            <v>9660094</v>
          </cell>
          <cell r="N86">
            <v>10</v>
          </cell>
          <cell r="O86">
            <v>16400</v>
          </cell>
          <cell r="P86">
            <v>54660000</v>
          </cell>
          <cell r="Q86">
            <v>41</v>
          </cell>
          <cell r="AA86">
            <v>20400</v>
          </cell>
          <cell r="AB86">
            <v>64320094</v>
          </cell>
          <cell r="AC86">
            <v>51</v>
          </cell>
          <cell r="AD86">
            <v>40000</v>
          </cell>
          <cell r="AE86">
            <v>21230.914634146342</v>
          </cell>
          <cell r="AF86">
            <v>433110.6585365854</v>
          </cell>
        </row>
        <row r="87">
          <cell r="B87" t="str">
            <v>CORPORACIÓN FINANCIERA DEL NORTE  S.A.</v>
          </cell>
          <cell r="F87">
            <v>3126483</v>
          </cell>
          <cell r="G87">
            <v>205850865</v>
          </cell>
          <cell r="H87">
            <v>2.5</v>
          </cell>
          <cell r="R87">
            <v>354540</v>
          </cell>
          <cell r="S87">
            <v>32102701</v>
          </cell>
          <cell r="T87">
            <v>0.28349746344374815</v>
          </cell>
          <cell r="AA87">
            <v>3481023</v>
          </cell>
          <cell r="AB87">
            <v>237953566</v>
          </cell>
          <cell r="AC87">
            <v>2.7834974634437479</v>
          </cell>
          <cell r="AD87">
            <v>125059320</v>
          </cell>
          <cell r="AE87">
            <v>116.58303563460925</v>
          </cell>
          <cell r="AF87">
            <v>405828.22845389438</v>
          </cell>
        </row>
        <row r="88">
          <cell r="B88" t="str">
            <v>ETERNIT ATLANTICO S.A.</v>
          </cell>
          <cell r="C88">
            <v>86753</v>
          </cell>
          <cell r="D88">
            <v>8684294</v>
          </cell>
          <cell r="E88">
            <v>1.4394862564098478</v>
          </cell>
          <cell r="AA88">
            <v>86753</v>
          </cell>
          <cell r="AB88">
            <v>8684294</v>
          </cell>
          <cell r="AC88">
            <v>1.4394862564098478</v>
          </cell>
          <cell r="AD88">
            <v>6026664</v>
          </cell>
          <cell r="AE88">
            <v>4331.63</v>
          </cell>
          <cell r="AF88">
            <v>375781.89739</v>
          </cell>
        </row>
        <row r="89">
          <cell r="B89" t="str">
            <v>OTRAS INVERSIONES</v>
          </cell>
          <cell r="AF89">
            <v>3797976.3994258554</v>
          </cell>
        </row>
        <row r="90">
          <cell r="B90" t="str">
            <v>SUBTOTAL</v>
          </cell>
          <cell r="AF90">
            <v>1046250103.3587524</v>
          </cell>
        </row>
        <row r="91">
          <cell r="B91" t="str">
            <v>T O T A L</v>
          </cell>
          <cell r="AF91">
            <v>2572809243.9527526</v>
          </cell>
        </row>
        <row r="92">
          <cell r="B92" t="str">
            <v>(*) VALORIZADAS A VALOR INTRINSECO, SEGÚN CIRCULAR EXTERNA No. 001 DE 1996 DE LA SUPERINTENDENCIA DE VALORES.</v>
          </cell>
        </row>
        <row r="100">
          <cell r="B100" t="str">
            <v>ALMACENES ÉXITO</v>
          </cell>
          <cell r="D100">
            <v>0</v>
          </cell>
          <cell r="O100">
            <v>76975</v>
          </cell>
          <cell r="P100">
            <v>0</v>
          </cell>
          <cell r="Q100">
            <v>4.0451435178820383E-2</v>
          </cell>
          <cell r="AA100">
            <v>76975</v>
          </cell>
          <cell r="AB100">
            <v>0</v>
          </cell>
          <cell r="AC100">
            <v>4.0451435178820383E-2</v>
          </cell>
          <cell r="AD100">
            <v>190289911</v>
          </cell>
          <cell r="AE100">
            <v>4500</v>
          </cell>
          <cell r="AF100">
            <v>346387.5</v>
          </cell>
        </row>
        <row r="101">
          <cell r="B101" t="str">
            <v>INGENIO LA CABAÑA</v>
          </cell>
          <cell r="O101">
            <v>16204</v>
          </cell>
          <cell r="P101">
            <v>1000000000</v>
          </cell>
          <cell r="Q101">
            <v>0.13999999999999999</v>
          </cell>
          <cell r="AA101">
            <v>16204</v>
          </cell>
          <cell r="AB101">
            <v>1000000000</v>
          </cell>
          <cell r="AC101">
            <v>0.13999999999999999</v>
          </cell>
          <cell r="AD101">
            <v>11574285.714285715</v>
          </cell>
          <cell r="AE101">
            <v>15527.59</v>
          </cell>
          <cell r="AF101">
            <v>251609.06836</v>
          </cell>
        </row>
        <row r="102">
          <cell r="B102" t="str">
            <v>ACERIAS PAZ DEL RIO S.A.</v>
          </cell>
          <cell r="O102">
            <v>9006666</v>
          </cell>
          <cell r="P102">
            <v>219780000</v>
          </cell>
          <cell r="Q102">
            <v>9.4555037793220276E-2</v>
          </cell>
          <cell r="AA102">
            <v>9006666</v>
          </cell>
          <cell r="AB102">
            <v>219780000</v>
          </cell>
          <cell r="AC102">
            <v>9.4555037793220276E-2</v>
          </cell>
          <cell r="AD102">
            <v>9525315848</v>
          </cell>
          <cell r="AE102">
            <v>22.31</v>
          </cell>
          <cell r="AF102">
            <v>200938.71845999997</v>
          </cell>
        </row>
        <row r="103">
          <cell r="B103" t="str">
            <v>PROMOTORA PROY. DEL SUROCCIDENTE S.A.</v>
          </cell>
          <cell r="C103">
            <v>191000</v>
          </cell>
          <cell r="D103">
            <v>274705370</v>
          </cell>
          <cell r="E103">
            <v>20</v>
          </cell>
          <cell r="O103">
            <v>382000</v>
          </cell>
          <cell r="P103">
            <v>706810000</v>
          </cell>
          <cell r="Q103">
            <v>40</v>
          </cell>
          <cell r="AA103">
            <v>573000</v>
          </cell>
          <cell r="AB103">
            <v>981515370</v>
          </cell>
          <cell r="AC103">
            <v>60</v>
          </cell>
          <cell r="AD103">
            <v>955000</v>
          </cell>
          <cell r="AE103">
            <v>342.98</v>
          </cell>
          <cell r="AF103">
            <v>196527.54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GOTA"/>
      <sheetName val="resumen-mes"/>
      <sheetName val="resumen"/>
      <sheetName val="INVERGPO"/>
      <sheetName val="EMPAQUE"/>
      <sheetName val="Datos"/>
      <sheetName val="Detalle Viaje"/>
      <sheetName val="ResumenViaje"/>
      <sheetName val="VISA"/>
      <sheetName val="AMEX"/>
      <sheetName val="CtaAhorros"/>
      <sheetName val="CtaAhoEDA"/>
      <sheetName val="VisaNew"/>
      <sheetName val="Listas"/>
      <sheetName val="Sheet1"/>
      <sheetName val="Hoja de parametros"/>
      <sheetName val="centros planif"/>
      <sheetName val="Priorid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 val="XREF"/>
      <sheetName val="PPC1"/>
      <sheetName val="PPC2"/>
      <sheetName val="PPC3"/>
      <sheetName val="PPC4"/>
      <sheetName val="ENVIOCALI"/>
      <sheetName val="T. DINAMICA"/>
    </sheetNames>
    <sheetDataSet>
      <sheetData sheetId="0">
        <row r="1">
          <cell r="D1" t="str">
            <v>(Cifras expresadas en miles de pesos)</v>
          </cell>
        </row>
      </sheetData>
      <sheetData sheetId="1">
        <row r="1">
          <cell r="A1" t="str">
            <v>(reserved)</v>
          </cell>
        </row>
      </sheetData>
      <sheetData sheetId="2">
        <row r="5">
          <cell r="B5" t="str">
            <v>De acuerdo al kardex obtenido del módulo de activos fijos el saldo al 31 de diciembre de 2006,se encuentra adecuado. Ver PPC1.</v>
          </cell>
        </row>
      </sheetData>
      <sheetData sheetId="3">
        <row r="2">
          <cell r="A2">
            <v>40966031</v>
          </cell>
        </row>
      </sheetData>
      <sheetData sheetId="4">
        <row r="27980">
          <cell r="D27980" t="str">
            <v>Para efectos de cruce</v>
          </cell>
        </row>
      </sheetData>
      <sheetData sheetId="5">
        <row r="7">
          <cell r="F7" t="str">
            <v>N/S</v>
          </cell>
        </row>
      </sheetData>
      <sheetData sheetId="6"/>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Instrucciones"/>
      <sheetName val="Cronograma"/>
      <sheetName val="Entidad"/>
      <sheetName val="ESF"/>
      <sheetName val="ECP"/>
      <sheetName val="EFE"/>
      <sheetName val="Nota 6 Efectivo"/>
      <sheetName val="Nota 7.1 Acuerdos Préstamos"/>
      <sheetName val="Nota 7.2 Clasificación Act. Fro"/>
      <sheetName val="Nota 7.3 Valor razonable Fros"/>
      <sheetName val="Nota 8 Inventario"/>
      <sheetName val="Nota 9 ANCMV"/>
      <sheetName val="Nota 10 Intangibles"/>
      <sheetName val="Nota 11 PPE Mod. Revaluación"/>
      <sheetName val="Nota 12 Propiedades de Inv."/>
      <sheetName val="Nota 13 Inv Asoc Nc"/>
      <sheetName val="Nota 14 Subsidiarias"/>
      <sheetName val="Nota 15 Deterioro Activos"/>
      <sheetName val="Nota 16 Provisiones"/>
      <sheetName val="Nota 17 Deuda o Capital"/>
      <sheetName val="Nota 18 Capital Social"/>
      <sheetName val="Nota 19.1 Reservas y ORI"/>
      <sheetName val="Nota 19.2 ORI"/>
      <sheetName val="Nota 20 Otros Comp"/>
      <sheetName val="Nota 21 Dividendos"/>
      <sheetName val="Nota 23 Ing. Act. Ordinarias"/>
      <sheetName val="Nota 24 Costo Act."/>
      <sheetName val="Nota 29 Ganancias por Acción"/>
      <sheetName val="Nota 30 Segmentos"/>
      <sheetName val="Nota 31 Partes relacionadas"/>
      <sheetName val="Nota 32 Comb Neg"/>
      <sheetName val="Nota 33 Activos Pasivos Contig."/>
      <sheetName val="Nota 34 Hechos post"/>
    </sheetNames>
    <sheetDataSet>
      <sheetData sheetId="0" refreshError="1"/>
      <sheetData sheetId="1" refreshError="1"/>
      <sheetData sheetId="2" refreshError="1"/>
      <sheetData sheetId="3">
        <row r="9">
          <cell r="C9" t="str">
            <v>30 de septiembre de 2018</v>
          </cell>
        </row>
        <row r="10">
          <cell r="C10" t="str">
            <v>30 de septiembre de 2017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PMFormattingSheet"/>
      <sheetName val="ERI"/>
      <sheetName val="Listas"/>
    </sheetNames>
    <sheetDataSet>
      <sheetData sheetId="0"/>
      <sheetData sheetId="1">
        <row r="2">
          <cell r="A2" t="str">
            <v>Natural</v>
          </cell>
        </row>
        <row r="3">
          <cell r="A3" t="str">
            <v>Miles</v>
          </cell>
        </row>
        <row r="4">
          <cell r="A4" t="str">
            <v>Millones</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PMFormattingSheet"/>
      <sheetName val="Consolidado"/>
      <sheetName val="Todas las compañias"/>
    </sheetNames>
    <sheetDataSet>
      <sheetData sheetId="0"/>
      <sheetData sheetId="1">
        <row r="2">
          <cell r="A2" t="str">
            <v>Natural</v>
          </cell>
        </row>
        <row r="3">
          <cell r="A3" t="str">
            <v>Miles</v>
          </cell>
        </row>
        <row r="4">
          <cell r="A4" t="str">
            <v>Millones</v>
          </cell>
        </row>
      </sheetData>
      <sheetData sheetId="2">
        <row r="2">
          <cell r="A2" t="str">
            <v>Natural</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6">
    <pageSetUpPr fitToPage="1"/>
  </sheetPr>
  <dimension ref="A1:BF98"/>
  <sheetViews>
    <sheetView showGridLines="0" tabSelected="1" zoomScaleNormal="100" workbookViewId="0">
      <pane xSplit="2" ySplit="9" topLeftCell="AZ91" activePane="bottomRight" state="frozen"/>
      <selection activeCell="D38" sqref="D38"/>
      <selection pane="topRight" activeCell="D38" sqref="D38"/>
      <selection pane="bottomLeft" activeCell="D38" sqref="D38"/>
      <selection pane="bottomRight" activeCell="BF93" sqref="BF93"/>
    </sheetView>
  </sheetViews>
  <sheetFormatPr baseColWidth="10" defaultColWidth="13" defaultRowHeight="12.5"/>
  <cols>
    <col min="1" max="1" width="13" style="11" hidden="1" customWidth="1"/>
    <col min="2" max="2" width="60.81640625" style="11" bestFit="1" customWidth="1"/>
    <col min="3" max="3" width="11.81640625" style="11" bestFit="1" customWidth="1"/>
    <col min="4" max="4" width="1.6328125" style="11" customWidth="1"/>
    <col min="5" max="8" width="11.81640625" style="10" bestFit="1" customWidth="1"/>
    <col min="9" max="9" width="1.6328125" style="11" customWidth="1"/>
    <col min="10" max="10" width="11.81640625" style="28" bestFit="1" customWidth="1"/>
    <col min="11" max="13" width="11.81640625" style="11" bestFit="1" customWidth="1"/>
    <col min="14" max="14" width="14.36328125" style="11" bestFit="1" customWidth="1"/>
    <col min="15" max="15" width="1.6328125" style="11" customWidth="1"/>
    <col min="16" max="16" width="11.81640625" style="11" bestFit="1" customWidth="1"/>
    <col min="17" max="17" width="14.7265625" style="11" customWidth="1"/>
    <col min="18" max="18" width="11.81640625" style="11" bestFit="1" customWidth="1"/>
    <col min="19" max="19" width="14.08984375" style="11" bestFit="1" customWidth="1"/>
    <col min="20" max="20" width="11.81640625" style="11" bestFit="1" customWidth="1"/>
    <col min="21" max="21" width="14.08984375" style="11" customWidth="1"/>
    <col min="22" max="22" width="13" style="11"/>
    <col min="23" max="23" width="1.6328125" style="11" customWidth="1"/>
    <col min="24" max="27" width="13" style="11"/>
    <col min="28" max="28" width="1.6328125" style="11" customWidth="1"/>
    <col min="29" max="33" width="13" style="11"/>
    <col min="34" max="34" width="1.6328125" style="11" customWidth="1"/>
    <col min="35" max="38" width="13" style="11"/>
    <col min="39" max="39" width="1.6328125" style="11" customWidth="1"/>
    <col min="40" max="43" width="13" style="11"/>
    <col min="44" max="44" width="1.6328125" style="11" customWidth="1"/>
    <col min="45" max="48" width="13" style="11"/>
    <col min="49" max="49" width="1.6328125" style="11" customWidth="1"/>
    <col min="50" max="53" width="13" style="11"/>
    <col min="54" max="54" width="1.6328125" style="11" customWidth="1"/>
    <col min="55" max="16384" width="13" style="11"/>
  </cols>
  <sheetData>
    <row r="1" spans="2:58" ht="22.5">
      <c r="B1" s="264" t="s">
        <v>0</v>
      </c>
      <c r="C1" s="266"/>
      <c r="D1" s="266"/>
      <c r="E1" s="266"/>
      <c r="F1" s="266"/>
      <c r="G1" s="266"/>
      <c r="H1" s="266"/>
      <c r="I1" s="266"/>
      <c r="J1" s="266"/>
      <c r="K1" s="266"/>
      <c r="L1" s="266"/>
      <c r="M1" s="27"/>
      <c r="N1" s="27"/>
    </row>
    <row r="2" spans="2:58" ht="19">
      <c r="B2" s="265" t="s">
        <v>300</v>
      </c>
      <c r="C2" s="266"/>
      <c r="D2" s="266"/>
      <c r="E2" s="266"/>
      <c r="F2" s="266"/>
      <c r="G2" s="266"/>
      <c r="H2" s="266"/>
      <c r="I2" s="266"/>
      <c r="J2" s="266"/>
      <c r="K2" s="266"/>
      <c r="L2" s="266"/>
      <c r="M2" s="27"/>
      <c r="N2" s="27"/>
    </row>
    <row r="3" spans="2:58" ht="13.5">
      <c r="B3" s="263" t="s">
        <v>1</v>
      </c>
      <c r="C3" s="20"/>
      <c r="D3" s="20"/>
      <c r="E3" s="20"/>
      <c r="F3" s="20"/>
      <c r="G3" s="20"/>
      <c r="H3" s="20"/>
      <c r="I3" s="20"/>
      <c r="J3" s="20"/>
      <c r="K3" s="20"/>
      <c r="L3" s="20"/>
      <c r="M3" s="133"/>
      <c r="N3" s="133"/>
      <c r="AS3" s="268"/>
    </row>
    <row r="4" spans="2:58" ht="12.75" customHeight="1">
      <c r="B4" s="27"/>
      <c r="C4" s="27"/>
      <c r="D4" s="27"/>
      <c r="E4" s="27"/>
      <c r="F4" s="27"/>
      <c r="G4" s="27"/>
      <c r="H4" s="27"/>
      <c r="I4" s="27"/>
      <c r="J4" s="27"/>
      <c r="K4" s="27"/>
      <c r="AQ4" s="206"/>
      <c r="AS4" s="206"/>
      <c r="AU4" s="206"/>
      <c r="AV4" s="206"/>
    </row>
    <row r="6" spans="2:58" ht="21.75" customHeight="1">
      <c r="C6" s="132">
        <v>2013</v>
      </c>
      <c r="E6" s="366" t="s">
        <v>101</v>
      </c>
      <c r="F6" s="367"/>
      <c r="G6" s="367"/>
      <c r="H6" s="367"/>
      <c r="J6" s="366" t="s">
        <v>102</v>
      </c>
      <c r="K6" s="367"/>
      <c r="L6" s="367"/>
      <c r="M6" s="367"/>
      <c r="N6" s="367"/>
      <c r="P6" s="364" t="s">
        <v>176</v>
      </c>
      <c r="Q6" s="364"/>
      <c r="R6" s="364"/>
      <c r="S6" s="364"/>
      <c r="T6" s="364"/>
      <c r="U6" s="364"/>
      <c r="V6" s="364"/>
      <c r="X6" s="365" t="s">
        <v>193</v>
      </c>
      <c r="Y6" s="364"/>
      <c r="Z6" s="364"/>
      <c r="AA6" s="364"/>
      <c r="AB6" s="134"/>
      <c r="AC6" s="365" t="s">
        <v>229</v>
      </c>
      <c r="AD6" s="364"/>
      <c r="AE6" s="364"/>
      <c r="AF6" s="364"/>
      <c r="AG6" s="205"/>
      <c r="AI6" s="365" t="s">
        <v>250</v>
      </c>
      <c r="AJ6" s="364"/>
      <c r="AK6" s="364"/>
      <c r="AL6" s="364"/>
      <c r="AN6" s="365">
        <v>2020</v>
      </c>
      <c r="AO6" s="364"/>
      <c r="AP6" s="364"/>
      <c r="AQ6" s="364"/>
      <c r="AS6" s="365" t="s">
        <v>297</v>
      </c>
      <c r="AT6" s="364"/>
      <c r="AU6" s="364"/>
      <c r="AV6" s="364"/>
      <c r="AX6" s="365">
        <v>2022</v>
      </c>
      <c r="AY6" s="364"/>
      <c r="AZ6" s="364"/>
      <c r="BA6" s="364"/>
      <c r="BC6" s="364" t="s">
        <v>352</v>
      </c>
      <c r="BD6" s="364"/>
      <c r="BE6" s="364"/>
      <c r="BF6" s="364"/>
    </row>
    <row r="7" spans="2:58" ht="4.5" customHeight="1" thickBot="1">
      <c r="E7" s="11"/>
      <c r="F7" s="11"/>
      <c r="G7" s="11"/>
      <c r="H7" s="11"/>
      <c r="J7" s="11"/>
    </row>
    <row r="8" spans="2:58" ht="27.75" customHeight="1" thickTop="1" thickBot="1">
      <c r="C8" s="139">
        <v>41609</v>
      </c>
      <c r="E8" s="139">
        <v>41699</v>
      </c>
      <c r="F8" s="139">
        <v>41791</v>
      </c>
      <c r="G8" s="139">
        <v>41883</v>
      </c>
      <c r="H8" s="139">
        <v>41974</v>
      </c>
      <c r="J8" s="139">
        <v>42064</v>
      </c>
      <c r="K8" s="139">
        <v>42156</v>
      </c>
      <c r="L8" s="139">
        <v>42248</v>
      </c>
      <c r="M8" s="139">
        <v>42339</v>
      </c>
      <c r="N8" s="139" t="s">
        <v>205</v>
      </c>
      <c r="P8" s="139">
        <v>42430</v>
      </c>
      <c r="Q8" s="139" t="s">
        <v>206</v>
      </c>
      <c r="R8" s="139">
        <v>42522</v>
      </c>
      <c r="S8" s="139" t="s">
        <v>207</v>
      </c>
      <c r="T8" s="139">
        <v>42614</v>
      </c>
      <c r="U8" s="139" t="s">
        <v>210</v>
      </c>
      <c r="V8" s="139">
        <v>42705</v>
      </c>
      <c r="X8" s="139">
        <v>42795</v>
      </c>
      <c r="Y8" s="139">
        <v>42887</v>
      </c>
      <c r="Z8" s="139">
        <v>42979</v>
      </c>
      <c r="AA8" s="139">
        <v>43070</v>
      </c>
      <c r="AB8" s="119"/>
      <c r="AC8" s="139">
        <v>43160</v>
      </c>
      <c r="AD8" s="139">
        <v>43252</v>
      </c>
      <c r="AE8" s="139">
        <v>43344</v>
      </c>
      <c r="AF8" s="139">
        <v>43435</v>
      </c>
      <c r="AG8" s="212" t="s">
        <v>277</v>
      </c>
      <c r="AI8" s="139">
        <v>43525</v>
      </c>
      <c r="AJ8" s="139">
        <v>43617</v>
      </c>
      <c r="AK8" s="139">
        <v>43709</v>
      </c>
      <c r="AL8" s="139">
        <v>43800</v>
      </c>
      <c r="AN8" s="139">
        <v>43891</v>
      </c>
      <c r="AO8" s="139">
        <v>43983</v>
      </c>
      <c r="AP8" s="139">
        <v>44075</v>
      </c>
      <c r="AQ8" s="139">
        <v>44166</v>
      </c>
      <c r="AS8" s="139">
        <v>44256</v>
      </c>
      <c r="AT8" s="139">
        <v>44348</v>
      </c>
      <c r="AU8" s="139">
        <v>44440</v>
      </c>
      <c r="AV8" s="139">
        <v>44531</v>
      </c>
      <c r="AX8" s="139">
        <v>44621</v>
      </c>
      <c r="AY8" s="139">
        <v>44713</v>
      </c>
      <c r="AZ8" s="139">
        <v>44805</v>
      </c>
      <c r="BA8" s="139">
        <v>44896</v>
      </c>
      <c r="BC8" s="139">
        <v>44986</v>
      </c>
      <c r="BD8" s="139">
        <v>45078</v>
      </c>
      <c r="BE8" s="139">
        <v>45170</v>
      </c>
      <c r="BF8" s="139">
        <v>45261</v>
      </c>
    </row>
    <row r="9" spans="2:58" ht="3.75" customHeight="1" thickTop="1">
      <c r="C9" s="10"/>
      <c r="D9" s="10"/>
      <c r="J9" s="10"/>
      <c r="K9" s="10"/>
    </row>
    <row r="10" spans="2:58" ht="16.5" customHeight="1">
      <c r="B10" s="12" t="s">
        <v>36</v>
      </c>
      <c r="C10" s="29">
        <v>731275</v>
      </c>
      <c r="D10" s="29"/>
      <c r="E10" s="29">
        <v>559273</v>
      </c>
      <c r="F10" s="29">
        <v>391924</v>
      </c>
      <c r="G10" s="29">
        <v>1049937</v>
      </c>
      <c r="H10" s="29">
        <v>995507</v>
      </c>
      <c r="J10" s="29">
        <v>1072937</v>
      </c>
      <c r="K10" s="29">
        <v>585852</v>
      </c>
      <c r="L10" s="29">
        <v>1464840</v>
      </c>
      <c r="M10" s="29">
        <f>1628603+43215</f>
        <v>1671818</v>
      </c>
      <c r="N10" s="29">
        <f>1685187+155132</f>
        <v>1840319</v>
      </c>
      <c r="P10" s="111">
        <v>1519586</v>
      </c>
      <c r="Q10" s="111">
        <v>1519586</v>
      </c>
      <c r="R10" s="111">
        <v>1266602</v>
      </c>
      <c r="S10" s="111">
        <v>1266602</v>
      </c>
      <c r="T10" s="111">
        <v>1585276</v>
      </c>
      <c r="U10" s="111">
        <v>1910581</v>
      </c>
      <c r="V10" s="111">
        <f>1774072+147400</f>
        <v>1921472</v>
      </c>
      <c r="X10" s="111">
        <v>2450429</v>
      </c>
      <c r="Y10" s="111">
        <v>2422442</v>
      </c>
      <c r="Z10" s="111">
        <v>2356012</v>
      </c>
      <c r="AA10" s="111">
        <v>2625892</v>
      </c>
      <c r="AB10" s="111"/>
      <c r="AC10" s="111">
        <v>2492791</v>
      </c>
      <c r="AD10" s="111">
        <v>2591478</v>
      </c>
      <c r="AE10" s="111">
        <v>2498186</v>
      </c>
      <c r="AF10" s="111">
        <v>2647532</v>
      </c>
      <c r="AG10" s="111">
        <v>2647532</v>
      </c>
      <c r="AI10" s="111">
        <v>2404519</v>
      </c>
      <c r="AJ10" s="111">
        <v>2335279</v>
      </c>
      <c r="AK10" s="111">
        <v>2662535</v>
      </c>
      <c r="AL10" s="111">
        <v>2474008</v>
      </c>
      <c r="AM10" s="111"/>
      <c r="AN10" s="111">
        <v>3103516</v>
      </c>
      <c r="AO10" s="111">
        <v>3290226</v>
      </c>
      <c r="AP10" s="111">
        <v>2996482</v>
      </c>
      <c r="AQ10" s="118">
        <v>2701096</v>
      </c>
      <c r="AR10" s="206"/>
      <c r="AS10" s="118">
        <v>2660351</v>
      </c>
      <c r="AT10" s="118">
        <v>2557910</v>
      </c>
      <c r="AU10" s="118">
        <v>2511583</v>
      </c>
      <c r="AV10" s="118">
        <v>2683143</v>
      </c>
      <c r="AW10" s="206"/>
      <c r="AX10" s="118">
        <v>2765035</v>
      </c>
      <c r="AY10" s="118">
        <v>2035259</v>
      </c>
      <c r="AZ10" s="111">
        <v>1397754</v>
      </c>
      <c r="BA10" s="111">
        <v>1429105</v>
      </c>
      <c r="BB10" s="206"/>
      <c r="BC10" s="111">
        <v>1262462</v>
      </c>
      <c r="BD10" s="111">
        <v>1764595</v>
      </c>
      <c r="BE10" s="111">
        <v>1786867</v>
      </c>
      <c r="BF10" s="111">
        <v>2201475</v>
      </c>
    </row>
    <row r="11" spans="2:58" ht="16.5" customHeight="1">
      <c r="B11" s="12" t="s">
        <v>83</v>
      </c>
      <c r="C11" s="29">
        <v>2681</v>
      </c>
      <c r="D11" s="29"/>
      <c r="E11" s="29">
        <v>5597</v>
      </c>
      <c r="F11" s="29">
        <v>0</v>
      </c>
      <c r="G11" s="29">
        <v>4906</v>
      </c>
      <c r="H11" s="29">
        <v>23067</v>
      </c>
      <c r="J11" s="29">
        <v>2696</v>
      </c>
      <c r="K11" s="29">
        <v>1184</v>
      </c>
      <c r="L11" s="29">
        <v>17393</v>
      </c>
      <c r="M11" s="29">
        <v>38054</v>
      </c>
      <c r="N11" s="29">
        <v>38054</v>
      </c>
      <c r="P11" s="111">
        <v>17830</v>
      </c>
      <c r="Q11" s="111">
        <v>17830</v>
      </c>
      <c r="R11" s="111">
        <v>18728</v>
      </c>
      <c r="S11" s="111">
        <v>18728</v>
      </c>
      <c r="T11" s="111">
        <v>14068</v>
      </c>
      <c r="U11" s="111">
        <v>14068</v>
      </c>
      <c r="V11" s="111">
        <v>1420</v>
      </c>
      <c r="X11" s="111">
        <v>7884</v>
      </c>
      <c r="Y11" s="111">
        <v>98</v>
      </c>
      <c r="Z11" s="111">
        <v>157</v>
      </c>
      <c r="AA11" s="111">
        <v>176</v>
      </c>
      <c r="AB11" s="111"/>
      <c r="AC11" s="111">
        <v>0</v>
      </c>
      <c r="AD11" s="111">
        <v>12735</v>
      </c>
      <c r="AE11" s="111">
        <v>14919</v>
      </c>
      <c r="AF11" s="111">
        <v>10392</v>
      </c>
      <c r="AG11" s="111">
        <v>10392</v>
      </c>
      <c r="AI11" s="111">
        <v>10528</v>
      </c>
      <c r="AJ11" s="111">
        <v>18719</v>
      </c>
      <c r="AK11" s="111">
        <v>20360</v>
      </c>
      <c r="AL11" s="111">
        <v>5786</v>
      </c>
      <c r="AM11" s="111"/>
      <c r="AN11" s="111">
        <v>113734</v>
      </c>
      <c r="AO11" s="111">
        <v>16135</v>
      </c>
      <c r="AP11" s="111">
        <v>29317</v>
      </c>
      <c r="AQ11" s="118">
        <v>6354</v>
      </c>
      <c r="AR11" s="206"/>
      <c r="AS11" s="118">
        <v>24970</v>
      </c>
      <c r="AT11" s="118">
        <v>16681</v>
      </c>
      <c r="AU11" s="118">
        <v>18905</v>
      </c>
      <c r="AV11" s="118">
        <v>20856</v>
      </c>
      <c r="AW11" s="206"/>
      <c r="AX11" s="118">
        <v>5534</v>
      </c>
      <c r="AY11" s="118">
        <v>34986</v>
      </c>
      <c r="AZ11" s="111">
        <v>62187</v>
      </c>
      <c r="BA11" s="111">
        <v>70236</v>
      </c>
      <c r="BB11" s="206"/>
      <c r="BC11" s="111">
        <v>36640</v>
      </c>
      <c r="BD11" s="111">
        <v>4971</v>
      </c>
      <c r="BE11" s="111">
        <v>8599</v>
      </c>
      <c r="BF11" s="111">
        <v>159018</v>
      </c>
    </row>
    <row r="12" spans="2:58" ht="16.5" customHeight="1">
      <c r="B12" s="12" t="s">
        <v>222</v>
      </c>
      <c r="C12" s="29">
        <v>764104</v>
      </c>
      <c r="D12" s="29"/>
      <c r="E12" s="29">
        <v>1145546</v>
      </c>
      <c r="F12" s="29">
        <v>967407</v>
      </c>
      <c r="G12" s="29">
        <v>680829</v>
      </c>
      <c r="H12" s="29">
        <v>332545</v>
      </c>
      <c r="J12" s="29">
        <v>371179</v>
      </c>
      <c r="K12" s="29">
        <v>210459</v>
      </c>
      <c r="L12" s="29">
        <v>117563</v>
      </c>
      <c r="M12" s="29">
        <v>212681</v>
      </c>
      <c r="N12" s="29">
        <f>199338-155132</f>
        <v>44206</v>
      </c>
      <c r="P12" s="111">
        <v>246961</v>
      </c>
      <c r="Q12" s="111">
        <v>246961</v>
      </c>
      <c r="R12" s="111">
        <v>376377</v>
      </c>
      <c r="S12" s="111">
        <v>376377</v>
      </c>
      <c r="T12" s="111">
        <v>360910</v>
      </c>
      <c r="U12" s="111">
        <v>35605</v>
      </c>
      <c r="V12" s="111">
        <f>149703-147400</f>
        <v>2303</v>
      </c>
      <c r="X12" s="111">
        <v>22702</v>
      </c>
      <c r="Y12" s="111">
        <v>47722</v>
      </c>
      <c r="Z12" s="111">
        <v>197273</v>
      </c>
      <c r="AA12" s="111">
        <v>45371</v>
      </c>
      <c r="AB12" s="111"/>
      <c r="AC12" s="111">
        <v>19983</v>
      </c>
      <c r="AD12" s="111">
        <v>3799</v>
      </c>
      <c r="AE12" s="111">
        <v>4943</v>
      </c>
      <c r="AF12" s="111">
        <f>72949-1</f>
        <v>72948</v>
      </c>
      <c r="AG12" s="111">
        <f>72949-1</f>
        <v>72948</v>
      </c>
      <c r="AI12" s="111">
        <v>125616</v>
      </c>
      <c r="AJ12" s="111">
        <v>83448</v>
      </c>
      <c r="AK12" s="111">
        <v>90718</v>
      </c>
      <c r="AL12" s="111">
        <v>123626</v>
      </c>
      <c r="AM12" s="111"/>
      <c r="AN12" s="111">
        <v>79674</v>
      </c>
      <c r="AO12" s="111">
        <v>55744</v>
      </c>
      <c r="AP12" s="111">
        <v>1494</v>
      </c>
      <c r="AQ12" s="118">
        <v>0</v>
      </c>
      <c r="AR12" s="206"/>
      <c r="AS12" s="118">
        <v>0</v>
      </c>
      <c r="AT12" s="118">
        <v>0</v>
      </c>
      <c r="AU12" s="118">
        <v>665</v>
      </c>
      <c r="AV12" s="118">
        <v>869849</v>
      </c>
      <c r="AW12" s="206"/>
      <c r="AX12" s="118">
        <v>24720</v>
      </c>
      <c r="AY12" s="118">
        <v>279147</v>
      </c>
      <c r="AZ12" s="111">
        <v>269711</v>
      </c>
      <c r="BA12" s="111">
        <v>763678</v>
      </c>
      <c r="BB12" s="206"/>
      <c r="BC12" s="111">
        <v>576822</v>
      </c>
      <c r="BD12" s="111">
        <v>268410</v>
      </c>
      <c r="BE12" s="111">
        <v>216481</v>
      </c>
      <c r="BF12" s="111">
        <v>45233</v>
      </c>
    </row>
    <row r="13" spans="2:58">
      <c r="B13" s="12" t="s">
        <v>149</v>
      </c>
      <c r="C13" s="29">
        <v>1061400</v>
      </c>
      <c r="D13" s="29"/>
      <c r="E13" s="29">
        <v>1666893</v>
      </c>
      <c r="F13" s="29">
        <v>1854819</v>
      </c>
      <c r="G13" s="29">
        <v>1923085</v>
      </c>
      <c r="H13" s="29">
        <v>1530058</v>
      </c>
      <c r="J13" s="29">
        <f>1910745-1</f>
        <v>1910744</v>
      </c>
      <c r="K13" s="29">
        <v>2093723</v>
      </c>
      <c r="L13" s="29">
        <f>2560289</f>
        <v>2560289</v>
      </c>
      <c r="M13" s="29">
        <f>2552232-43215-38611</f>
        <v>2470406</v>
      </c>
      <c r="N13" s="29">
        <f>2472144-35475</f>
        <v>2436669</v>
      </c>
      <c r="P13" s="111">
        <v>2948749</v>
      </c>
      <c r="Q13" s="111">
        <v>2908175</v>
      </c>
      <c r="R13" s="111">
        <v>2901854</v>
      </c>
      <c r="S13" s="111">
        <v>2850973</v>
      </c>
      <c r="T13" s="111">
        <v>2963994</v>
      </c>
      <c r="U13" s="111">
        <v>2901161</v>
      </c>
      <c r="V13" s="111">
        <f>2760967-53535</f>
        <v>2707432</v>
      </c>
      <c r="X13" s="111">
        <v>2937936</v>
      </c>
      <c r="Y13" s="111">
        <v>2915690</v>
      </c>
      <c r="Z13" s="111">
        <v>2877677</v>
      </c>
      <c r="AA13" s="111">
        <v>2713849</v>
      </c>
      <c r="AB13" s="111"/>
      <c r="AC13" s="111">
        <v>2595584</v>
      </c>
      <c r="AD13" s="111">
        <v>2628419</v>
      </c>
      <c r="AE13" s="111">
        <v>2576149</v>
      </c>
      <c r="AF13" s="111">
        <v>2534821</v>
      </c>
      <c r="AG13" s="111">
        <v>2507790</v>
      </c>
      <c r="AI13" s="111">
        <v>2590350</v>
      </c>
      <c r="AJ13" s="111">
        <v>2744064</v>
      </c>
      <c r="AK13" s="111">
        <v>2962859</v>
      </c>
      <c r="AL13" s="111">
        <v>2988955</v>
      </c>
      <c r="AM13" s="111"/>
      <c r="AN13" s="111">
        <v>3488219</v>
      </c>
      <c r="AO13" s="111">
        <v>3339823</v>
      </c>
      <c r="AP13" s="111">
        <v>2863952</v>
      </c>
      <c r="AQ13" s="118">
        <v>2255887</v>
      </c>
      <c r="AR13" s="206"/>
      <c r="AS13" s="118">
        <v>2782499</v>
      </c>
      <c r="AT13" s="118">
        <v>2855680</v>
      </c>
      <c r="AU13" s="118">
        <v>2919020</v>
      </c>
      <c r="AV13" s="118">
        <v>2746524</v>
      </c>
      <c r="AW13" s="206"/>
      <c r="AX13" s="118">
        <v>3091220</v>
      </c>
      <c r="AY13" s="118">
        <v>2934931</v>
      </c>
      <c r="AZ13" s="111">
        <v>3076175</v>
      </c>
      <c r="BA13" s="111">
        <v>2993918</v>
      </c>
      <c r="BB13" s="206"/>
      <c r="BC13" s="111">
        <v>3224310</v>
      </c>
      <c r="BD13" s="111">
        <v>3207176</v>
      </c>
      <c r="BE13" s="111">
        <v>3748725</v>
      </c>
      <c r="BF13" s="111">
        <v>3521505</v>
      </c>
    </row>
    <row r="14" spans="2:58" ht="16.5" customHeight="1">
      <c r="B14" s="12" t="s">
        <v>30</v>
      </c>
      <c r="C14" s="29">
        <v>457370</v>
      </c>
      <c r="D14" s="29"/>
      <c r="E14" s="29">
        <v>592168</v>
      </c>
      <c r="F14" s="29">
        <v>647365</v>
      </c>
      <c r="G14" s="29">
        <v>658829</v>
      </c>
      <c r="H14" s="29">
        <v>650462</v>
      </c>
      <c r="J14" s="29">
        <v>766184</v>
      </c>
      <c r="K14" s="29">
        <v>828060</v>
      </c>
      <c r="L14" s="29">
        <v>908413</v>
      </c>
      <c r="M14" s="29">
        <v>902218</v>
      </c>
      <c r="N14" s="29">
        <v>902218</v>
      </c>
      <c r="P14" s="111">
        <v>913588</v>
      </c>
      <c r="Q14" s="111">
        <v>913588</v>
      </c>
      <c r="R14" s="111">
        <v>997376</v>
      </c>
      <c r="S14" s="111">
        <v>997376</v>
      </c>
      <c r="T14" s="111">
        <v>1010407</v>
      </c>
      <c r="U14" s="111">
        <v>1004900</v>
      </c>
      <c r="V14" s="111">
        <v>1069615</v>
      </c>
      <c r="X14" s="111">
        <v>1161858</v>
      </c>
      <c r="Y14" s="111">
        <v>1227443</v>
      </c>
      <c r="Z14" s="111">
        <v>1151664</v>
      </c>
      <c r="AA14" s="111">
        <v>1086669</v>
      </c>
      <c r="AB14" s="111"/>
      <c r="AC14" s="111">
        <v>1134852</v>
      </c>
      <c r="AD14" s="111">
        <v>1155422</v>
      </c>
      <c r="AE14" s="111">
        <v>1122947</v>
      </c>
      <c r="AF14" s="111">
        <v>1291909</v>
      </c>
      <c r="AG14" s="111">
        <v>1291909</v>
      </c>
      <c r="AI14" s="111">
        <v>1334905</v>
      </c>
      <c r="AJ14" s="111">
        <v>1428587</v>
      </c>
      <c r="AK14" s="111">
        <v>1383694</v>
      </c>
      <c r="AL14" s="111">
        <v>1252938</v>
      </c>
      <c r="AM14" s="111"/>
      <c r="AN14" s="111">
        <v>1508333</v>
      </c>
      <c r="AO14" s="111">
        <v>1451377</v>
      </c>
      <c r="AP14" s="111">
        <v>1498599</v>
      </c>
      <c r="AQ14" s="118">
        <v>1237080</v>
      </c>
      <c r="AR14" s="206"/>
      <c r="AS14" s="118">
        <v>1304750</v>
      </c>
      <c r="AT14" s="118">
        <v>1296513</v>
      </c>
      <c r="AU14" s="118">
        <v>1351758</v>
      </c>
      <c r="AV14" s="118">
        <v>1376345</v>
      </c>
      <c r="AW14" s="206"/>
      <c r="AX14" s="118">
        <v>1479055</v>
      </c>
      <c r="AY14" s="118">
        <v>1625181</v>
      </c>
      <c r="AZ14" s="111">
        <v>1805867</v>
      </c>
      <c r="BA14" s="111">
        <v>1924803</v>
      </c>
      <c r="BB14" s="206"/>
      <c r="BC14" s="111">
        <v>1911793</v>
      </c>
      <c r="BD14" s="111">
        <v>1914339</v>
      </c>
      <c r="BE14" s="111">
        <v>1804744</v>
      </c>
      <c r="BF14" s="111">
        <v>1658803</v>
      </c>
    </row>
    <row r="15" spans="2:58" ht="16.5" customHeight="1">
      <c r="B15" s="12" t="s">
        <v>131</v>
      </c>
      <c r="C15" s="29">
        <v>0</v>
      </c>
      <c r="D15" s="29"/>
      <c r="E15" s="29">
        <v>0</v>
      </c>
      <c r="F15" s="29">
        <v>19249</v>
      </c>
      <c r="G15" s="29">
        <v>0</v>
      </c>
      <c r="H15" s="29">
        <v>304</v>
      </c>
      <c r="J15" s="29">
        <v>0</v>
      </c>
      <c r="K15" s="29">
        <v>0</v>
      </c>
      <c r="L15" s="29">
        <v>0</v>
      </c>
      <c r="M15" s="111">
        <v>0</v>
      </c>
      <c r="N15" s="110">
        <v>0</v>
      </c>
      <c r="P15" s="111">
        <v>0</v>
      </c>
      <c r="Q15" s="111">
        <v>0</v>
      </c>
      <c r="R15" s="111">
        <v>0</v>
      </c>
      <c r="S15" s="111">
        <v>0</v>
      </c>
      <c r="T15" s="111">
        <v>0</v>
      </c>
      <c r="U15" s="111">
        <v>0</v>
      </c>
      <c r="V15" s="111">
        <v>0</v>
      </c>
      <c r="X15" s="111">
        <v>0</v>
      </c>
      <c r="Y15" s="111">
        <v>0</v>
      </c>
      <c r="Z15" s="111">
        <v>0</v>
      </c>
      <c r="AA15" s="111">
        <v>134</v>
      </c>
      <c r="AB15" s="111"/>
      <c r="AC15" s="111">
        <v>137</v>
      </c>
      <c r="AD15" s="111">
        <v>140</v>
      </c>
      <c r="AE15" s="111">
        <v>9269</v>
      </c>
      <c r="AF15" s="111">
        <v>9360</v>
      </c>
      <c r="AG15" s="111">
        <v>9360</v>
      </c>
      <c r="AI15" s="111">
        <v>9607</v>
      </c>
      <c r="AJ15" s="111">
        <v>8911</v>
      </c>
      <c r="AK15" s="111">
        <v>8339</v>
      </c>
      <c r="AL15" s="111">
        <v>9157</v>
      </c>
      <c r="AM15" s="111"/>
      <c r="AN15" s="111">
        <v>7273</v>
      </c>
      <c r="AO15" s="111">
        <v>6911</v>
      </c>
      <c r="AP15" s="111">
        <v>5932</v>
      </c>
      <c r="AQ15" s="118">
        <v>5634</v>
      </c>
      <c r="AR15" s="206"/>
      <c r="AS15" s="118">
        <v>5367</v>
      </c>
      <c r="AT15" s="118">
        <v>5652</v>
      </c>
      <c r="AU15" s="118">
        <v>5613</v>
      </c>
      <c r="AV15" s="118">
        <v>4312</v>
      </c>
      <c r="AW15" s="206"/>
      <c r="AX15" s="118">
        <v>4626</v>
      </c>
      <c r="AY15" s="118">
        <v>4657</v>
      </c>
      <c r="AZ15" s="111">
        <v>4592</v>
      </c>
      <c r="BA15" s="111">
        <v>5112</v>
      </c>
      <c r="BB15" s="206"/>
      <c r="BC15" s="111">
        <v>5507</v>
      </c>
      <c r="BD15" s="111">
        <v>5497</v>
      </c>
      <c r="BE15" s="111">
        <v>5284</v>
      </c>
      <c r="BF15" s="111">
        <v>5892</v>
      </c>
    </row>
    <row r="16" spans="2:58">
      <c r="B16" s="12" t="s">
        <v>157</v>
      </c>
      <c r="C16" s="29">
        <v>152440</v>
      </c>
      <c r="D16" s="29"/>
      <c r="E16" s="29">
        <v>180774</v>
      </c>
      <c r="F16" s="29">
        <v>210045</v>
      </c>
      <c r="G16" s="29">
        <v>185072</v>
      </c>
      <c r="H16" s="29">
        <v>196951</v>
      </c>
      <c r="J16" s="29">
        <v>249741</v>
      </c>
      <c r="K16" s="29">
        <v>170172</v>
      </c>
      <c r="L16" s="29">
        <v>281991</v>
      </c>
      <c r="M16" s="29">
        <f>229301+38611</f>
        <v>267912</v>
      </c>
      <c r="N16" s="29">
        <f>266056-6515</f>
        <v>259541</v>
      </c>
      <c r="P16" s="111">
        <v>262726</v>
      </c>
      <c r="Q16" s="111">
        <v>303300</v>
      </c>
      <c r="R16" s="111">
        <v>218973</v>
      </c>
      <c r="S16" s="111">
        <v>269853</v>
      </c>
      <c r="T16" s="111">
        <v>248181</v>
      </c>
      <c r="U16" s="111">
        <v>311014</v>
      </c>
      <c r="V16" s="111">
        <f>204993-6515</f>
        <v>198478</v>
      </c>
      <c r="X16" s="111">
        <v>159853</v>
      </c>
      <c r="Y16" s="111">
        <v>191360</v>
      </c>
      <c r="Z16" s="111">
        <v>287373</v>
      </c>
      <c r="AA16" s="111">
        <v>228103</v>
      </c>
      <c r="AB16" s="111"/>
      <c r="AC16" s="111">
        <v>213725</v>
      </c>
      <c r="AD16" s="111">
        <v>250434</v>
      </c>
      <c r="AE16" s="111">
        <v>259758</v>
      </c>
      <c r="AF16" s="111">
        <v>244963</v>
      </c>
      <c r="AG16" s="111">
        <v>244963</v>
      </c>
      <c r="AI16" s="111">
        <v>248254</v>
      </c>
      <c r="AJ16" s="111">
        <v>296924</v>
      </c>
      <c r="AK16" s="111">
        <v>263730</v>
      </c>
      <c r="AL16" s="111">
        <v>195625</v>
      </c>
      <c r="AM16" s="111"/>
      <c r="AN16" s="111">
        <v>212748</v>
      </c>
      <c r="AO16" s="111">
        <v>218638</v>
      </c>
      <c r="AP16" s="111">
        <v>277186</v>
      </c>
      <c r="AQ16" s="118">
        <v>212046</v>
      </c>
      <c r="AR16" s="206"/>
      <c r="AS16" s="118">
        <v>213140</v>
      </c>
      <c r="AT16" s="118">
        <v>187324</v>
      </c>
      <c r="AU16" s="118">
        <v>230313</v>
      </c>
      <c r="AV16" s="118">
        <v>229924</v>
      </c>
      <c r="AW16" s="206"/>
      <c r="AX16" s="118">
        <v>222443</v>
      </c>
      <c r="AY16" s="118">
        <v>225275</v>
      </c>
      <c r="AZ16" s="111">
        <v>337379</v>
      </c>
      <c r="BA16" s="111">
        <v>336957</v>
      </c>
      <c r="BB16" s="206"/>
      <c r="BC16" s="111">
        <v>285725</v>
      </c>
      <c r="BD16" s="111">
        <v>257952</v>
      </c>
      <c r="BE16" s="111">
        <v>365699</v>
      </c>
      <c r="BF16" s="111">
        <v>334380</v>
      </c>
    </row>
    <row r="17" spans="2:58" ht="17.25" customHeight="1">
      <c r="B17" s="12" t="s">
        <v>60</v>
      </c>
      <c r="C17" s="29">
        <v>15097</v>
      </c>
      <c r="D17" s="29"/>
      <c r="E17" s="29">
        <v>518</v>
      </c>
      <c r="F17" s="29">
        <v>159</v>
      </c>
      <c r="G17" s="29">
        <v>159</v>
      </c>
      <c r="H17" s="29">
        <v>7725</v>
      </c>
      <c r="J17" s="29">
        <v>622</v>
      </c>
      <c r="K17" s="29">
        <v>116777</v>
      </c>
      <c r="L17" s="29">
        <v>2541</v>
      </c>
      <c r="M17" s="110">
        <v>104882</v>
      </c>
      <c r="N17" s="110">
        <v>10142</v>
      </c>
      <c r="P17" s="111">
        <v>106221</v>
      </c>
      <c r="Q17" s="111">
        <v>11481</v>
      </c>
      <c r="R17" s="111">
        <v>105940</v>
      </c>
      <c r="S17" s="111">
        <v>11200</v>
      </c>
      <c r="T17" s="111">
        <v>103504</v>
      </c>
      <c r="U17" s="111">
        <v>8763</v>
      </c>
      <c r="V17" s="111">
        <v>350872</v>
      </c>
      <c r="X17" s="111">
        <v>340810</v>
      </c>
      <c r="Y17" s="111">
        <v>8346</v>
      </c>
      <c r="Z17" s="111">
        <v>8187</v>
      </c>
      <c r="AA17" s="111">
        <v>49925</v>
      </c>
      <c r="AB17" s="111"/>
      <c r="AC17" s="111">
        <v>49884</v>
      </c>
      <c r="AD17" s="111">
        <v>49797</v>
      </c>
      <c r="AE17" s="111">
        <v>63665</v>
      </c>
      <c r="AF17" s="111">
        <v>40030</v>
      </c>
      <c r="AG17" s="111">
        <v>40030</v>
      </c>
      <c r="AI17" s="111">
        <v>40088</v>
      </c>
      <c r="AJ17" s="111">
        <v>25003</v>
      </c>
      <c r="AK17" s="111">
        <v>1853</v>
      </c>
      <c r="AL17" s="111">
        <v>76744</v>
      </c>
      <c r="AM17" s="111"/>
      <c r="AN17" s="111">
        <v>30801</v>
      </c>
      <c r="AO17" s="111">
        <v>31241</v>
      </c>
      <c r="AP17" s="111">
        <v>30323</v>
      </c>
      <c r="AQ17" s="118">
        <v>247954</v>
      </c>
      <c r="AR17" s="206"/>
      <c r="AS17" s="118">
        <v>260293</v>
      </c>
      <c r="AT17" s="118">
        <v>250306</v>
      </c>
      <c r="AU17" s="118">
        <v>246530</v>
      </c>
      <c r="AV17" s="118">
        <v>58304</v>
      </c>
      <c r="AW17" s="206"/>
      <c r="AX17" s="118">
        <v>56598</v>
      </c>
      <c r="AY17" s="118">
        <v>165764</v>
      </c>
      <c r="AZ17" s="111">
        <v>3022011</v>
      </c>
      <c r="BA17" s="111">
        <v>6169569</v>
      </c>
      <c r="BB17" s="206"/>
      <c r="BC17" s="111">
        <v>5958909</v>
      </c>
      <c r="BD17" s="111">
        <v>4834246</v>
      </c>
      <c r="BE17" s="111">
        <v>4646205</v>
      </c>
      <c r="BF17" s="111">
        <v>2112245</v>
      </c>
    </row>
    <row r="18" spans="2:58" ht="6" customHeight="1">
      <c r="B18" s="12"/>
      <c r="C18" s="29"/>
      <c r="D18" s="29"/>
      <c r="E18" s="29"/>
      <c r="F18" s="29"/>
      <c r="G18" s="29"/>
      <c r="H18" s="29"/>
      <c r="J18" s="29"/>
      <c r="K18" s="29"/>
      <c r="L18" s="29"/>
      <c r="M18" s="29"/>
      <c r="N18" s="29"/>
      <c r="P18" s="29"/>
      <c r="Q18" s="29"/>
      <c r="R18" s="29"/>
      <c r="S18" s="29"/>
      <c r="T18" s="29"/>
      <c r="U18" s="29"/>
      <c r="V18" s="29"/>
      <c r="X18" s="29"/>
      <c r="Y18" s="29"/>
      <c r="Z18" s="29"/>
      <c r="AA18" s="29"/>
      <c r="AB18" s="29"/>
      <c r="AC18" s="29"/>
      <c r="AD18" s="29"/>
      <c r="AE18" s="29"/>
      <c r="AF18" s="29"/>
      <c r="AG18" s="29"/>
      <c r="AI18" s="29"/>
      <c r="AJ18" s="29"/>
      <c r="AK18" s="29"/>
      <c r="AL18" s="29"/>
      <c r="AM18" s="29"/>
      <c r="AN18" s="29"/>
      <c r="AO18" s="29"/>
      <c r="AP18" s="29"/>
      <c r="AQ18" s="153"/>
      <c r="AR18" s="206"/>
      <c r="AS18" s="153"/>
      <c r="AT18" s="153"/>
      <c r="AU18" s="153"/>
      <c r="AV18" s="153"/>
      <c r="AW18" s="206"/>
      <c r="AX18" s="153"/>
      <c r="AY18" s="153"/>
      <c r="AZ18" s="29"/>
      <c r="BA18" s="29"/>
      <c r="BB18" s="206"/>
      <c r="BC18" s="29"/>
      <c r="BD18" s="29"/>
      <c r="BE18" s="29"/>
      <c r="BF18" s="29"/>
    </row>
    <row r="19" spans="2:58" ht="13">
      <c r="B19" s="24" t="s">
        <v>51</v>
      </c>
      <c r="C19" s="25">
        <f>+SUM(C10:C17)</f>
        <v>3184367</v>
      </c>
      <c r="D19" s="25"/>
      <c r="E19" s="25">
        <f>+SUM(E10:E17)</f>
        <v>4150769</v>
      </c>
      <c r="F19" s="25">
        <f>+SUM(F10:F17)</f>
        <v>4090968</v>
      </c>
      <c r="G19" s="25">
        <f>+SUM(G10:G17)</f>
        <v>4502817</v>
      </c>
      <c r="H19" s="25">
        <f>+SUM(H10:H17)</f>
        <v>3736619</v>
      </c>
      <c r="J19" s="25">
        <f>+SUM(J10:J17)</f>
        <v>4374103</v>
      </c>
      <c r="K19" s="25">
        <f>+SUM(K10:K17)</f>
        <v>4006227</v>
      </c>
      <c r="L19" s="25">
        <f>+SUM(L10:L17)</f>
        <v>5353030</v>
      </c>
      <c r="M19" s="25">
        <f>+SUM(M10:M17)</f>
        <v>5667971</v>
      </c>
      <c r="N19" s="25">
        <f>+SUM(N10:N17)</f>
        <v>5531149</v>
      </c>
      <c r="P19" s="25">
        <f t="shared" ref="P19:V19" si="0">+SUM(P10:P17)</f>
        <v>6015661</v>
      </c>
      <c r="Q19" s="25">
        <f t="shared" si="0"/>
        <v>5920921</v>
      </c>
      <c r="R19" s="25">
        <f t="shared" si="0"/>
        <v>5885850</v>
      </c>
      <c r="S19" s="25">
        <f t="shared" si="0"/>
        <v>5791109</v>
      </c>
      <c r="T19" s="25">
        <f t="shared" si="0"/>
        <v>6286340</v>
      </c>
      <c r="U19" s="25">
        <f t="shared" ref="U19" si="1">+SUM(U10:U17)</f>
        <v>6186092</v>
      </c>
      <c r="V19" s="25">
        <f t="shared" si="0"/>
        <v>6251592</v>
      </c>
      <c r="X19" s="25">
        <f>+SUM(X10:X17)</f>
        <v>7081472</v>
      </c>
      <c r="Y19" s="25">
        <f t="shared" ref="Y19:Z19" si="2">+SUM(Y10:Y17)</f>
        <v>6813101</v>
      </c>
      <c r="Z19" s="25">
        <f t="shared" si="2"/>
        <v>6878343</v>
      </c>
      <c r="AA19" s="25">
        <f t="shared" ref="AA19:AC19" si="3">+SUM(AA10:AA17)</f>
        <v>6750119</v>
      </c>
      <c r="AB19" s="25"/>
      <c r="AC19" s="25">
        <f t="shared" si="3"/>
        <v>6506956</v>
      </c>
      <c r="AD19" s="25">
        <f t="shared" ref="AD19:AF19" si="4">+SUM(AD10:AD17)</f>
        <v>6692224</v>
      </c>
      <c r="AE19" s="25">
        <f t="shared" si="4"/>
        <v>6549836</v>
      </c>
      <c r="AF19" s="25">
        <f t="shared" si="4"/>
        <v>6851955</v>
      </c>
      <c r="AG19" s="25">
        <f t="shared" ref="AG19" si="5">+SUM(AG10:AG17)</f>
        <v>6824924</v>
      </c>
      <c r="AI19" s="25">
        <v>6763867</v>
      </c>
      <c r="AJ19" s="25">
        <v>6940935</v>
      </c>
      <c r="AK19" s="25">
        <v>7394088</v>
      </c>
      <c r="AL19" s="25">
        <v>7126839</v>
      </c>
      <c r="AM19" s="25"/>
      <c r="AN19" s="25">
        <v>8544298</v>
      </c>
      <c r="AO19" s="25">
        <v>8410095</v>
      </c>
      <c r="AP19" s="25">
        <v>7703285</v>
      </c>
      <c r="AQ19" s="25">
        <f t="shared" ref="AQ19" si="6">+SUM(AQ10:AQ17)</f>
        <v>6666051</v>
      </c>
      <c r="AR19" s="206"/>
      <c r="AS19" s="25">
        <f t="shared" ref="AS19:AV19" si="7">+SUM(AS10:AS17)</f>
        <v>7251370</v>
      </c>
      <c r="AT19" s="25">
        <f t="shared" si="7"/>
        <v>7170066</v>
      </c>
      <c r="AU19" s="25">
        <f t="shared" si="7"/>
        <v>7284387</v>
      </c>
      <c r="AV19" s="25">
        <f t="shared" si="7"/>
        <v>7989257</v>
      </c>
      <c r="AW19" s="206"/>
      <c r="AX19" s="25">
        <f t="shared" ref="AX19:AY19" si="8">+SUM(AX10:AX17)</f>
        <v>7649231</v>
      </c>
      <c r="AY19" s="25">
        <f t="shared" si="8"/>
        <v>7305200</v>
      </c>
      <c r="AZ19" s="25">
        <v>9975676</v>
      </c>
      <c r="BA19" s="25">
        <f t="shared" ref="BA19" si="9">+SUM(BA10:BA17)</f>
        <v>13693378</v>
      </c>
      <c r="BB19" s="206"/>
      <c r="BC19" s="25">
        <v>13262168</v>
      </c>
      <c r="BD19" s="25">
        <v>12257186</v>
      </c>
      <c r="BE19" s="25">
        <v>12582604</v>
      </c>
      <c r="BF19" s="25">
        <v>10038551</v>
      </c>
    </row>
    <row r="20" spans="2:58" ht="5.25" customHeight="1">
      <c r="C20" s="22"/>
      <c r="D20" s="22"/>
      <c r="E20" s="22"/>
      <c r="F20" s="22"/>
      <c r="G20" s="22"/>
      <c r="H20" s="22"/>
      <c r="J20" s="22"/>
      <c r="K20" s="22"/>
      <c r="L20" s="22"/>
      <c r="M20" s="22"/>
      <c r="N20" s="22"/>
      <c r="P20" s="22"/>
      <c r="Q20" s="22"/>
      <c r="R20" s="22"/>
      <c r="S20" s="22"/>
      <c r="T20" s="22"/>
      <c r="U20" s="22"/>
      <c r="V20" s="22"/>
      <c r="X20" s="22"/>
      <c r="Y20" s="22"/>
      <c r="Z20" s="22"/>
      <c r="AA20" s="22"/>
      <c r="AB20" s="22"/>
      <c r="AC20" s="22"/>
      <c r="AD20" s="22"/>
      <c r="AE20" s="22"/>
      <c r="AF20" s="22"/>
      <c r="AG20" s="22"/>
      <c r="AI20" s="22"/>
      <c r="AJ20" s="22"/>
      <c r="AK20" s="22"/>
      <c r="AL20" s="22"/>
      <c r="AM20" s="22"/>
      <c r="AN20" s="22"/>
      <c r="AO20" s="22"/>
      <c r="AP20" s="22"/>
      <c r="AQ20" s="22"/>
      <c r="AR20" s="206"/>
      <c r="AS20" s="22"/>
      <c r="AT20" s="22"/>
      <c r="AU20" s="22"/>
      <c r="AV20" s="22"/>
      <c r="AW20" s="206"/>
      <c r="AX20" s="22"/>
      <c r="AY20" s="22"/>
      <c r="BA20" s="22"/>
      <c r="BB20" s="206"/>
      <c r="BC20" s="22"/>
      <c r="BD20" s="22"/>
      <c r="BE20" s="22"/>
    </row>
    <row r="21" spans="2:58" ht="16.5" customHeight="1">
      <c r="B21" s="15" t="s">
        <v>31</v>
      </c>
      <c r="C21" s="29">
        <v>8653427</v>
      </c>
      <c r="D21" s="29"/>
      <c r="E21" s="29">
        <v>8935072</v>
      </c>
      <c r="F21" s="29">
        <v>9068100</v>
      </c>
      <c r="G21" s="29">
        <v>9214489</v>
      </c>
      <c r="H21" s="29">
        <v>9290669</v>
      </c>
      <c r="J21" s="29">
        <v>8294641</v>
      </c>
      <c r="K21" s="29">
        <v>9415204</v>
      </c>
      <c r="L21" s="29">
        <v>9276252</v>
      </c>
      <c r="M21" s="110">
        <v>10149084</v>
      </c>
      <c r="N21" s="110">
        <v>11057388</v>
      </c>
      <c r="P21" s="111">
        <v>10186863</v>
      </c>
      <c r="Q21" s="111">
        <v>10523808</v>
      </c>
      <c r="R21" s="111">
        <v>10021757</v>
      </c>
      <c r="S21" s="111">
        <v>10352899</v>
      </c>
      <c r="T21" s="111">
        <v>10724307</v>
      </c>
      <c r="U21" s="111">
        <v>10068031</v>
      </c>
      <c r="V21" s="111">
        <v>9925907</v>
      </c>
      <c r="X21" s="111">
        <v>9305216</v>
      </c>
      <c r="Y21" s="111">
        <v>9415214</v>
      </c>
      <c r="Z21" s="111">
        <v>9217994</v>
      </c>
      <c r="AA21" s="111">
        <v>9616673</v>
      </c>
      <c r="AB21" s="153"/>
      <c r="AC21" s="111">
        <v>9294677</v>
      </c>
      <c r="AD21" s="111">
        <v>9539703</v>
      </c>
      <c r="AE21" s="111">
        <v>9593645</v>
      </c>
      <c r="AF21" s="111">
        <v>9846505</v>
      </c>
      <c r="AG21" s="111">
        <v>9846505</v>
      </c>
      <c r="AI21" s="111">
        <v>10062303</v>
      </c>
      <c r="AJ21" s="111">
        <v>10155467</v>
      </c>
      <c r="AK21" s="111">
        <v>10718255</v>
      </c>
      <c r="AL21" s="111">
        <v>10206002</v>
      </c>
      <c r="AM21" s="111"/>
      <c r="AN21" s="111">
        <v>10242667</v>
      </c>
      <c r="AO21" s="111">
        <v>10132137</v>
      </c>
      <c r="AP21" s="111">
        <v>10496967</v>
      </c>
      <c r="AQ21" s="118">
        <v>10263780</v>
      </c>
      <c r="AR21" s="206"/>
      <c r="AS21" s="118">
        <v>10463122</v>
      </c>
      <c r="AT21" s="118">
        <v>10613651</v>
      </c>
      <c r="AU21" s="118">
        <v>10665617</v>
      </c>
      <c r="AV21" s="118">
        <v>11590167</v>
      </c>
      <c r="AW21" s="206"/>
      <c r="AX21" s="118">
        <v>12353168</v>
      </c>
      <c r="AY21" s="118">
        <v>12378988</v>
      </c>
      <c r="AZ21" s="270">
        <v>12354606</v>
      </c>
      <c r="BA21" s="111">
        <v>13489764</v>
      </c>
      <c r="BB21" s="206"/>
      <c r="BC21" s="111">
        <v>14318261</v>
      </c>
      <c r="BD21" s="111">
        <v>11746217</v>
      </c>
      <c r="BE21" s="111">
        <v>11546483</v>
      </c>
      <c r="BF21" s="111">
        <v>11727430</v>
      </c>
    </row>
    <row r="22" spans="2:58">
      <c r="B22" s="12" t="s">
        <v>149</v>
      </c>
      <c r="C22" s="29">
        <v>39047</v>
      </c>
      <c r="D22" s="29"/>
      <c r="E22" s="29">
        <v>50040</v>
      </c>
      <c r="F22" s="29">
        <v>686285</v>
      </c>
      <c r="G22" s="29">
        <v>40533</v>
      </c>
      <c r="H22" s="29">
        <v>52726</v>
      </c>
      <c r="J22" s="29">
        <v>36393</v>
      </c>
      <c r="K22" s="29">
        <v>43929</v>
      </c>
      <c r="L22" s="29">
        <v>183826</v>
      </c>
      <c r="M22" s="110">
        <v>217495</v>
      </c>
      <c r="N22" s="29">
        <f>281064+35475</f>
        <v>316539</v>
      </c>
      <c r="P22" s="111">
        <v>212255</v>
      </c>
      <c r="Q22" s="111">
        <v>850529</v>
      </c>
      <c r="R22" s="111">
        <v>1205357</v>
      </c>
      <c r="S22" s="111">
        <f>1818303-1</f>
        <v>1818302</v>
      </c>
      <c r="T22" s="111">
        <v>1478723</v>
      </c>
      <c r="U22" s="111">
        <f>2022828+1</f>
        <v>2022829</v>
      </c>
      <c r="V22" s="111">
        <f>2506692+53535</f>
        <v>2560227</v>
      </c>
      <c r="X22" s="111">
        <v>2413115</v>
      </c>
      <c r="Y22" s="111">
        <v>2632075</v>
      </c>
      <c r="Z22" s="111">
        <v>2564302</v>
      </c>
      <c r="AA22" s="111">
        <f>2619430</f>
        <v>2619430</v>
      </c>
      <c r="AB22" s="153"/>
      <c r="AC22" s="111">
        <v>2452386</v>
      </c>
      <c r="AD22" s="111">
        <v>2541049</v>
      </c>
      <c r="AE22" s="111">
        <v>2626524</v>
      </c>
      <c r="AF22" s="111">
        <f>2632021-1</f>
        <v>2632020</v>
      </c>
      <c r="AG22" s="111">
        <f>2632021-1</f>
        <v>2632020</v>
      </c>
      <c r="AI22" s="111">
        <v>2531992</v>
      </c>
      <c r="AJ22" s="111">
        <v>2534900</v>
      </c>
      <c r="AK22" s="111">
        <v>2804985</v>
      </c>
      <c r="AL22" s="111">
        <v>2493612</v>
      </c>
      <c r="AM22" s="111"/>
      <c r="AN22" s="111">
        <v>3054316</v>
      </c>
      <c r="AO22" s="111">
        <v>2833245</v>
      </c>
      <c r="AP22" s="111">
        <v>3195490</v>
      </c>
      <c r="AQ22" s="118">
        <f>2828010-2</f>
        <v>2828008</v>
      </c>
      <c r="AR22" s="206"/>
      <c r="AS22" s="118">
        <v>3078305</v>
      </c>
      <c r="AT22" s="118">
        <v>3136391</v>
      </c>
      <c r="AU22" s="118">
        <v>3119248</v>
      </c>
      <c r="AV22" s="118">
        <v>867991</v>
      </c>
      <c r="AW22" s="206"/>
      <c r="AX22" s="118">
        <v>915013</v>
      </c>
      <c r="AY22" s="118">
        <v>779178</v>
      </c>
      <c r="AZ22" s="111">
        <v>866636</v>
      </c>
      <c r="BA22" s="111">
        <v>574099</v>
      </c>
      <c r="BB22" s="206"/>
      <c r="BC22" s="111">
        <v>585505</v>
      </c>
      <c r="BD22" s="111">
        <v>518730</v>
      </c>
      <c r="BE22" s="111">
        <v>530104</v>
      </c>
      <c r="BF22" s="111">
        <v>713673</v>
      </c>
    </row>
    <row r="23" spans="2:58" ht="16.5" customHeight="1">
      <c r="B23" s="15" t="s">
        <v>30</v>
      </c>
      <c r="C23" s="29">
        <v>0</v>
      </c>
      <c r="D23" s="29"/>
      <c r="E23" s="29">
        <v>0</v>
      </c>
      <c r="F23" s="29">
        <v>0</v>
      </c>
      <c r="G23" s="29">
        <v>0</v>
      </c>
      <c r="H23" s="29">
        <v>29508</v>
      </c>
      <c r="J23" s="29">
        <v>0</v>
      </c>
      <c r="K23" s="29">
        <v>0</v>
      </c>
      <c r="L23" s="29">
        <v>0</v>
      </c>
      <c r="M23" s="110">
        <v>24146</v>
      </c>
      <c r="N23" s="110">
        <v>24146</v>
      </c>
      <c r="P23" s="111">
        <v>26594</v>
      </c>
      <c r="Q23" s="111">
        <v>26594</v>
      </c>
      <c r="R23" s="111">
        <v>26594</v>
      </c>
      <c r="S23" s="111">
        <v>26594</v>
      </c>
      <c r="T23" s="111">
        <v>20659</v>
      </c>
      <c r="U23" s="111">
        <v>20659</v>
      </c>
      <c r="V23" s="111">
        <v>42583</v>
      </c>
      <c r="X23" s="111">
        <v>44913</v>
      </c>
      <c r="Y23" s="111">
        <v>46887</v>
      </c>
      <c r="Z23" s="111">
        <v>46720</v>
      </c>
      <c r="AA23" s="111">
        <v>47275</v>
      </c>
      <c r="AB23" s="111"/>
      <c r="AC23" s="111">
        <v>47952</v>
      </c>
      <c r="AD23" s="111">
        <v>49144</v>
      </c>
      <c r="AE23" s="111">
        <v>50734</v>
      </c>
      <c r="AF23" s="111">
        <v>36747</v>
      </c>
      <c r="AG23" s="111">
        <v>36747</v>
      </c>
      <c r="AI23" s="111">
        <v>36959</v>
      </c>
      <c r="AJ23" s="111">
        <v>37029</v>
      </c>
      <c r="AK23" s="111">
        <v>36065</v>
      </c>
      <c r="AL23" s="111">
        <v>37204</v>
      </c>
      <c r="AM23" s="111"/>
      <c r="AN23" s="111">
        <v>37366</v>
      </c>
      <c r="AO23" s="111">
        <v>0</v>
      </c>
      <c r="AP23" s="111">
        <v>0</v>
      </c>
      <c r="AQ23" s="118">
        <v>0</v>
      </c>
      <c r="AR23" s="206"/>
      <c r="AS23" s="118">
        <v>0</v>
      </c>
      <c r="AT23" s="118">
        <v>0</v>
      </c>
      <c r="AU23" s="118">
        <v>0</v>
      </c>
      <c r="AV23" s="118">
        <v>0</v>
      </c>
      <c r="AW23" s="206"/>
      <c r="AX23" s="118">
        <v>0</v>
      </c>
      <c r="AY23" s="118">
        <v>0</v>
      </c>
      <c r="AZ23" s="111">
        <v>0</v>
      </c>
      <c r="BA23" s="111">
        <v>0</v>
      </c>
      <c r="BB23" s="206"/>
      <c r="BC23" s="111">
        <v>0</v>
      </c>
      <c r="BD23" s="111">
        <v>0</v>
      </c>
      <c r="BE23" s="111">
        <v>0</v>
      </c>
      <c r="BF23" s="111">
        <v>0</v>
      </c>
    </row>
    <row r="24" spans="2:58" ht="16.5" customHeight="1">
      <c r="B24" s="15" t="s">
        <v>251</v>
      </c>
      <c r="C24" s="29">
        <v>0</v>
      </c>
      <c r="D24" s="29"/>
      <c r="E24" s="29">
        <v>0</v>
      </c>
      <c r="F24" s="29">
        <v>0</v>
      </c>
      <c r="G24" s="29">
        <v>0</v>
      </c>
      <c r="H24" s="29">
        <v>0</v>
      </c>
      <c r="J24" s="29">
        <v>0</v>
      </c>
      <c r="K24" s="29">
        <v>0</v>
      </c>
      <c r="L24" s="29">
        <v>0</v>
      </c>
      <c r="M24" s="29">
        <v>0</v>
      </c>
      <c r="N24" s="29">
        <v>0</v>
      </c>
      <c r="P24" s="29">
        <v>0</v>
      </c>
      <c r="Q24" s="29">
        <v>0</v>
      </c>
      <c r="R24" s="29">
        <v>0</v>
      </c>
      <c r="S24" s="29">
        <v>0</v>
      </c>
      <c r="T24" s="29">
        <v>0</v>
      </c>
      <c r="U24" s="29">
        <v>0</v>
      </c>
      <c r="V24" s="29">
        <v>0</v>
      </c>
      <c r="X24" s="29">
        <v>0</v>
      </c>
      <c r="Y24" s="29">
        <v>0</v>
      </c>
      <c r="Z24" s="29">
        <v>0</v>
      </c>
      <c r="AA24" s="29">
        <v>0</v>
      </c>
      <c r="AB24" s="111"/>
      <c r="AC24" s="29">
        <v>0</v>
      </c>
      <c r="AD24" s="29">
        <v>0</v>
      </c>
      <c r="AE24" s="29">
        <v>0</v>
      </c>
      <c r="AF24" s="29">
        <v>0</v>
      </c>
      <c r="AG24" s="29">
        <v>0</v>
      </c>
      <c r="AI24" s="111">
        <v>1052531</v>
      </c>
      <c r="AJ24" s="111">
        <v>1126595</v>
      </c>
      <c r="AK24" s="111">
        <v>1142187</v>
      </c>
      <c r="AL24" s="111">
        <v>1071329</v>
      </c>
      <c r="AM24" s="111"/>
      <c r="AN24" s="111">
        <v>1024970</v>
      </c>
      <c r="AO24" s="111">
        <v>902442</v>
      </c>
      <c r="AP24" s="111">
        <v>875096</v>
      </c>
      <c r="AQ24" s="118">
        <v>813037</v>
      </c>
      <c r="AR24" s="206"/>
      <c r="AS24" s="118">
        <v>720008</v>
      </c>
      <c r="AT24" s="118">
        <v>688018</v>
      </c>
      <c r="AU24" s="118">
        <v>691925</v>
      </c>
      <c r="AV24" s="118">
        <v>704186</v>
      </c>
      <c r="AW24" s="206"/>
      <c r="AX24" s="118">
        <v>674017</v>
      </c>
      <c r="AY24" s="118">
        <v>689454</v>
      </c>
      <c r="AZ24" s="111">
        <v>665541</v>
      </c>
      <c r="BA24" s="111">
        <v>669838</v>
      </c>
      <c r="BB24" s="206"/>
      <c r="BC24" s="111">
        <v>633519</v>
      </c>
      <c r="BD24" s="111">
        <v>568297</v>
      </c>
      <c r="BE24" s="111">
        <v>570439</v>
      </c>
      <c r="BF24" s="111">
        <v>513956</v>
      </c>
    </row>
    <row r="25" spans="2:58" ht="16.5" customHeight="1">
      <c r="B25" s="15" t="s">
        <v>37</v>
      </c>
      <c r="C25" s="30">
        <v>2237788</v>
      </c>
      <c r="D25" s="30"/>
      <c r="E25" s="30">
        <v>2751255</v>
      </c>
      <c r="F25" s="30">
        <v>2220411</v>
      </c>
      <c r="G25" s="30">
        <v>2435384</v>
      </c>
      <c r="H25" s="30">
        <v>3409486</v>
      </c>
      <c r="J25" s="30">
        <v>2804196</v>
      </c>
      <c r="K25" s="30">
        <v>3410689</v>
      </c>
      <c r="L25" s="30">
        <v>4668749</v>
      </c>
      <c r="M25" s="110">
        <v>5298574</v>
      </c>
      <c r="N25" s="29">
        <f>4842947+1</f>
        <v>4842948</v>
      </c>
      <c r="P25" s="111">
        <v>5147746</v>
      </c>
      <c r="Q25" s="111">
        <v>4671225</v>
      </c>
      <c r="R25" s="111">
        <v>5169608</v>
      </c>
      <c r="S25" s="111">
        <v>4702047</v>
      </c>
      <c r="T25" s="111">
        <v>4553369</v>
      </c>
      <c r="U25" s="111">
        <v>4647798</v>
      </c>
      <c r="V25" s="111">
        <v>4638553</v>
      </c>
      <c r="X25" s="111">
        <v>7252336</v>
      </c>
      <c r="Y25" s="111">
        <v>7409157</v>
      </c>
      <c r="Z25" s="111">
        <v>7237219</v>
      </c>
      <c r="AA25" s="111">
        <v>7196127</v>
      </c>
      <c r="AB25" s="111"/>
      <c r="AC25" s="111">
        <v>6895316</v>
      </c>
      <c r="AD25" s="111">
        <v>6940394</v>
      </c>
      <c r="AE25" s="111">
        <v>6881011</v>
      </c>
      <c r="AF25" s="111">
        <v>7101499</v>
      </c>
      <c r="AG25" s="111">
        <v>7101499</v>
      </c>
      <c r="AI25" s="111">
        <v>6924103</v>
      </c>
      <c r="AJ25" s="111">
        <v>6926606</v>
      </c>
      <c r="AK25" s="111">
        <v>7117601</v>
      </c>
      <c r="AL25" s="111">
        <v>7985719</v>
      </c>
      <c r="AM25" s="111"/>
      <c r="AN25" s="111">
        <v>8589497</v>
      </c>
      <c r="AO25" s="111">
        <v>8240836</v>
      </c>
      <c r="AP25" s="111">
        <v>8263998</v>
      </c>
      <c r="AQ25" s="118">
        <v>7713637</v>
      </c>
      <c r="AR25" s="206"/>
      <c r="AS25" s="118">
        <v>7869026</v>
      </c>
      <c r="AT25" s="118">
        <v>7554862</v>
      </c>
      <c r="AU25" s="118">
        <v>7494806</v>
      </c>
      <c r="AV25" s="118">
        <v>7430883</v>
      </c>
      <c r="AW25" s="206"/>
      <c r="AX25" s="118">
        <v>6992098</v>
      </c>
      <c r="AY25" s="118">
        <v>5569580</v>
      </c>
      <c r="AZ25" s="111">
        <v>4083321</v>
      </c>
      <c r="BA25" s="111">
        <v>3103213</v>
      </c>
      <c r="BB25" s="206"/>
      <c r="BC25" s="111">
        <v>2978309</v>
      </c>
      <c r="BD25" s="111">
        <v>2729535</v>
      </c>
      <c r="BE25" s="111">
        <v>2623910</v>
      </c>
      <c r="BF25" s="111">
        <v>2419039</v>
      </c>
    </row>
    <row r="26" spans="2:58" ht="16.5" customHeight="1">
      <c r="B26" s="15" t="s">
        <v>53</v>
      </c>
      <c r="C26" s="29">
        <v>11812193</v>
      </c>
      <c r="D26" s="29"/>
      <c r="E26" s="29">
        <v>12809441</v>
      </c>
      <c r="F26" s="29">
        <v>13268791</v>
      </c>
      <c r="G26" s="29">
        <v>12820449</v>
      </c>
      <c r="H26" s="29">
        <v>15566951</v>
      </c>
      <c r="J26" s="29">
        <v>16155449</v>
      </c>
      <c r="K26" s="29">
        <v>16238337</v>
      </c>
      <c r="L26" s="29">
        <v>17428525</v>
      </c>
      <c r="M26" s="110">
        <v>17935551</v>
      </c>
      <c r="N26" s="110">
        <v>17087908</v>
      </c>
      <c r="P26" s="111">
        <v>17484599</v>
      </c>
      <c r="Q26" s="111">
        <v>16673832</v>
      </c>
      <c r="R26" s="111">
        <v>17222744</v>
      </c>
      <c r="S26" s="111">
        <v>16447557</v>
      </c>
      <c r="T26" s="111">
        <v>17079909</v>
      </c>
      <c r="U26" s="111">
        <v>16451973</v>
      </c>
      <c r="V26" s="111">
        <v>18258476</v>
      </c>
      <c r="X26" s="111">
        <v>17933353</v>
      </c>
      <c r="Y26" s="111">
        <v>18415650</v>
      </c>
      <c r="Z26" s="111">
        <v>18125618</v>
      </c>
      <c r="AA26" s="111">
        <v>18481446</v>
      </c>
      <c r="AB26" s="111"/>
      <c r="AC26" s="111">
        <v>17804943</v>
      </c>
      <c r="AD26" s="111">
        <v>18224517</v>
      </c>
      <c r="AE26" s="111">
        <v>18354637</v>
      </c>
      <c r="AF26" s="111">
        <v>19332437</v>
      </c>
      <c r="AG26" s="111">
        <v>19332437</v>
      </c>
      <c r="AI26" s="111">
        <v>18884036</v>
      </c>
      <c r="AJ26" s="111">
        <v>20616563</v>
      </c>
      <c r="AK26" s="111">
        <v>20540962</v>
      </c>
      <c r="AL26" s="111">
        <v>19082640</v>
      </c>
      <c r="AM26" s="111"/>
      <c r="AN26" s="111">
        <v>21225828</v>
      </c>
      <c r="AO26" s="111">
        <v>20323657</v>
      </c>
      <c r="AP26" s="111">
        <v>20656340</v>
      </c>
      <c r="AQ26" s="118">
        <v>19659963</v>
      </c>
      <c r="AR26" s="206"/>
      <c r="AS26" s="118">
        <v>20572767</v>
      </c>
      <c r="AT26" s="118">
        <v>20499106</v>
      </c>
      <c r="AU26" s="118">
        <v>20985155</v>
      </c>
      <c r="AV26" s="118">
        <v>21057939</v>
      </c>
      <c r="AW26" s="206"/>
      <c r="AX26" s="118">
        <v>20557447</v>
      </c>
      <c r="AY26" s="118">
        <v>21684861</v>
      </c>
      <c r="AZ26" s="111">
        <v>22994241</v>
      </c>
      <c r="BA26" s="111">
        <v>22497982</v>
      </c>
      <c r="BB26" s="206"/>
      <c r="BC26" s="111">
        <v>22399803</v>
      </c>
      <c r="BD26" s="111">
        <v>21632655</v>
      </c>
      <c r="BE26" s="111">
        <v>21586711</v>
      </c>
      <c r="BF26" s="111">
        <v>21292470</v>
      </c>
    </row>
    <row r="27" spans="2:58" ht="16.5" customHeight="1">
      <c r="B27" s="15" t="s">
        <v>260</v>
      </c>
      <c r="C27" s="29">
        <v>0</v>
      </c>
      <c r="D27" s="29"/>
      <c r="E27" s="29">
        <v>0</v>
      </c>
      <c r="F27" s="29">
        <v>0</v>
      </c>
      <c r="G27" s="29">
        <v>0</v>
      </c>
      <c r="H27" s="29">
        <v>0</v>
      </c>
      <c r="J27" s="29">
        <v>0</v>
      </c>
      <c r="K27" s="29">
        <v>0</v>
      </c>
      <c r="L27" s="29">
        <v>0</v>
      </c>
      <c r="M27" s="110">
        <v>0</v>
      </c>
      <c r="N27" s="110">
        <v>0</v>
      </c>
      <c r="P27" s="111">
        <v>0</v>
      </c>
      <c r="Q27" s="111">
        <v>0</v>
      </c>
      <c r="R27" s="111">
        <v>0</v>
      </c>
      <c r="S27" s="111">
        <v>0</v>
      </c>
      <c r="T27" s="111">
        <v>0</v>
      </c>
      <c r="U27" s="111">
        <v>0</v>
      </c>
      <c r="V27" s="111">
        <v>0</v>
      </c>
      <c r="X27" s="111">
        <v>0</v>
      </c>
      <c r="Y27" s="111">
        <v>0</v>
      </c>
      <c r="Z27" s="111">
        <v>0</v>
      </c>
      <c r="AA27" s="111">
        <v>0</v>
      </c>
      <c r="AB27" s="111"/>
      <c r="AC27" s="111">
        <v>0</v>
      </c>
      <c r="AD27" s="111">
        <v>0</v>
      </c>
      <c r="AE27" s="111">
        <v>0</v>
      </c>
      <c r="AF27" s="111">
        <v>0</v>
      </c>
      <c r="AG27" s="111">
        <v>0</v>
      </c>
      <c r="AI27" s="111">
        <v>0</v>
      </c>
      <c r="AJ27" s="111">
        <v>0</v>
      </c>
      <c r="AK27" s="111">
        <v>0</v>
      </c>
      <c r="AL27" s="111">
        <v>0</v>
      </c>
      <c r="AM27" s="111"/>
      <c r="AN27" s="111">
        <v>0</v>
      </c>
      <c r="AO27" s="111">
        <v>0</v>
      </c>
      <c r="AP27" s="111">
        <v>0</v>
      </c>
      <c r="AQ27" s="118">
        <v>0</v>
      </c>
      <c r="AR27" s="206"/>
      <c r="AS27" s="118">
        <v>0</v>
      </c>
      <c r="AT27" s="118">
        <v>0</v>
      </c>
      <c r="AU27" s="118">
        <v>0</v>
      </c>
      <c r="AV27" s="118">
        <v>0</v>
      </c>
      <c r="AW27" s="206"/>
      <c r="AX27" s="118">
        <v>0</v>
      </c>
      <c r="AY27" s="118">
        <v>0</v>
      </c>
      <c r="AZ27" s="111">
        <v>0</v>
      </c>
      <c r="BA27" s="111">
        <v>0</v>
      </c>
      <c r="BB27" s="206"/>
      <c r="BC27" s="111">
        <v>0</v>
      </c>
      <c r="BD27" s="111">
        <v>0</v>
      </c>
      <c r="BE27" s="111">
        <v>0</v>
      </c>
      <c r="BF27" s="111">
        <v>0</v>
      </c>
    </row>
    <row r="28" spans="2:58" ht="16.5" customHeight="1">
      <c r="B28" s="15" t="s">
        <v>38</v>
      </c>
      <c r="C28" s="30">
        <v>1713424</v>
      </c>
      <c r="D28" s="30"/>
      <c r="E28" s="30">
        <v>1861384</v>
      </c>
      <c r="F28" s="30">
        <v>1878130</v>
      </c>
      <c r="G28" s="30">
        <v>2592574</v>
      </c>
      <c r="H28" s="30">
        <v>1721516</v>
      </c>
      <c r="J28" s="30">
        <v>1877932</v>
      </c>
      <c r="K28" s="30">
        <v>1893825</v>
      </c>
      <c r="L28" s="30">
        <v>2727437</v>
      </c>
      <c r="M28" s="110">
        <v>1669342</v>
      </c>
      <c r="N28" s="110">
        <v>2403554</v>
      </c>
      <c r="P28" s="111">
        <v>1690358</v>
      </c>
      <c r="Q28" s="111">
        <v>2410241</v>
      </c>
      <c r="R28" s="111">
        <v>1625165</v>
      </c>
      <c r="S28" s="111">
        <v>2319070</v>
      </c>
      <c r="T28" s="111">
        <v>1627804</v>
      </c>
      <c r="U28" s="111">
        <v>2324647</v>
      </c>
      <c r="V28" s="111">
        <v>2273994</v>
      </c>
      <c r="X28" s="111">
        <v>2183436</v>
      </c>
      <c r="Y28" s="111">
        <v>2167970</v>
      </c>
      <c r="Z28" s="111">
        <v>2282995</v>
      </c>
      <c r="AA28" s="111">
        <v>2203222</v>
      </c>
      <c r="AB28" s="111"/>
      <c r="AC28" s="111">
        <v>2217013</v>
      </c>
      <c r="AD28" s="111">
        <v>2224874</v>
      </c>
      <c r="AE28" s="111">
        <v>2240665</v>
      </c>
      <c r="AF28" s="111">
        <v>2298386</v>
      </c>
      <c r="AG28" s="111">
        <v>2298386</v>
      </c>
      <c r="AI28" s="111">
        <v>2330133</v>
      </c>
      <c r="AJ28" s="111">
        <v>2339892</v>
      </c>
      <c r="AK28" s="111">
        <v>2352844</v>
      </c>
      <c r="AL28" s="111">
        <v>2317216</v>
      </c>
      <c r="AM28" s="111"/>
      <c r="AN28" s="111">
        <v>2343832</v>
      </c>
      <c r="AO28" s="111">
        <v>2336459</v>
      </c>
      <c r="AP28" s="111">
        <v>2342004</v>
      </c>
      <c r="AQ28" s="118">
        <v>2280815</v>
      </c>
      <c r="AR28" s="206"/>
      <c r="AS28" s="118">
        <v>2305584</v>
      </c>
      <c r="AT28" s="118">
        <v>2319505</v>
      </c>
      <c r="AU28" s="118">
        <v>2319460</v>
      </c>
      <c r="AV28" s="118">
        <v>2352836</v>
      </c>
      <c r="AW28" s="206"/>
      <c r="AX28" s="118">
        <v>2291062</v>
      </c>
      <c r="AY28" s="118">
        <v>2309735</v>
      </c>
      <c r="AZ28" s="111">
        <v>2324029</v>
      </c>
      <c r="BA28" s="111">
        <v>2290960</v>
      </c>
      <c r="BB28" s="206"/>
      <c r="BC28" s="111">
        <v>2325788</v>
      </c>
      <c r="BD28" s="111">
        <v>2259873</v>
      </c>
      <c r="BE28" s="111">
        <v>2236591</v>
      </c>
      <c r="BF28" s="111">
        <v>2203969</v>
      </c>
    </row>
    <row r="29" spans="2:58" ht="16.5" customHeight="1">
      <c r="B29" s="15" t="s">
        <v>135</v>
      </c>
      <c r="C29" s="30">
        <v>271714</v>
      </c>
      <c r="D29" s="30"/>
      <c r="E29" s="30">
        <v>167370</v>
      </c>
      <c r="F29" s="30">
        <v>173351</v>
      </c>
      <c r="G29" s="30">
        <v>112227</v>
      </c>
      <c r="H29" s="30">
        <v>417462</v>
      </c>
      <c r="I29" s="30"/>
      <c r="J29" s="30">
        <v>525806</v>
      </c>
      <c r="K29" s="30">
        <v>209240</v>
      </c>
      <c r="L29" s="30">
        <v>412071</v>
      </c>
      <c r="M29" s="110">
        <v>769633</v>
      </c>
      <c r="N29" s="110">
        <v>767054</v>
      </c>
      <c r="P29" s="111">
        <v>743212</v>
      </c>
      <c r="Q29" s="111">
        <v>740683</v>
      </c>
      <c r="R29" s="111">
        <v>743402</v>
      </c>
      <c r="S29" s="111">
        <v>740873</v>
      </c>
      <c r="T29" s="111">
        <v>715743</v>
      </c>
      <c r="U29" s="111">
        <v>715743</v>
      </c>
      <c r="V29" s="111">
        <v>758382</v>
      </c>
      <c r="X29" s="111">
        <v>746592</v>
      </c>
      <c r="Y29" s="111">
        <v>760516</v>
      </c>
      <c r="Z29" s="111">
        <v>725115</v>
      </c>
      <c r="AA29" s="111">
        <v>573316</v>
      </c>
      <c r="AB29" s="111"/>
      <c r="AC29" s="111">
        <v>419998</v>
      </c>
      <c r="AD29" s="111">
        <v>472307</v>
      </c>
      <c r="AE29" s="111">
        <v>541332</v>
      </c>
      <c r="AF29" s="111">
        <v>555133</v>
      </c>
      <c r="AG29" s="111">
        <v>515693</v>
      </c>
      <c r="AI29" s="111">
        <v>569084</v>
      </c>
      <c r="AJ29" s="111">
        <v>553460</v>
      </c>
      <c r="AK29" s="111">
        <v>578496</v>
      </c>
      <c r="AL29" s="111">
        <v>332321</v>
      </c>
      <c r="AM29" s="111"/>
      <c r="AN29" s="111">
        <v>539515</v>
      </c>
      <c r="AO29" s="111">
        <v>569749</v>
      </c>
      <c r="AP29" s="111">
        <v>567450</v>
      </c>
      <c r="AQ29" s="118">
        <v>388664</v>
      </c>
      <c r="AR29" s="206"/>
      <c r="AS29" s="118">
        <v>397401</v>
      </c>
      <c r="AT29" s="118">
        <v>383622</v>
      </c>
      <c r="AU29" s="118">
        <v>430793</v>
      </c>
      <c r="AV29" s="118">
        <v>400299</v>
      </c>
      <c r="AW29" s="206"/>
      <c r="AX29" s="118">
        <v>391973</v>
      </c>
      <c r="AY29" s="118">
        <v>358404</v>
      </c>
      <c r="AZ29" s="111">
        <v>323958</v>
      </c>
      <c r="BA29" s="111">
        <v>326029</v>
      </c>
      <c r="BB29" s="206"/>
      <c r="BC29" s="111">
        <v>353359</v>
      </c>
      <c r="BD29" s="111">
        <v>388606</v>
      </c>
      <c r="BE29" s="111">
        <v>412387</v>
      </c>
      <c r="BF29" s="111">
        <v>306791</v>
      </c>
    </row>
    <row r="30" spans="2:58" ht="16.5" customHeight="1">
      <c r="B30" s="15" t="s">
        <v>131</v>
      </c>
      <c r="C30" s="30">
        <v>61767</v>
      </c>
      <c r="D30" s="30"/>
      <c r="E30" s="30">
        <v>58571</v>
      </c>
      <c r="F30" s="30">
        <v>40591</v>
      </c>
      <c r="G30" s="30">
        <v>60006</v>
      </c>
      <c r="H30" s="30">
        <v>66970</v>
      </c>
      <c r="I30" s="30"/>
      <c r="J30" s="30">
        <v>58855</v>
      </c>
      <c r="K30" s="30">
        <v>18921</v>
      </c>
      <c r="L30" s="30">
        <v>18921</v>
      </c>
      <c r="M30" s="110">
        <v>20243</v>
      </c>
      <c r="N30" s="110">
        <v>20243</v>
      </c>
      <c r="P30" s="111">
        <v>20242</v>
      </c>
      <c r="Q30" s="111">
        <v>20242</v>
      </c>
      <c r="R30" s="111">
        <v>20242</v>
      </c>
      <c r="S30" s="111">
        <v>20242</v>
      </c>
      <c r="T30" s="111">
        <v>20242</v>
      </c>
      <c r="U30" s="111">
        <v>20242</v>
      </c>
      <c r="V30" s="111">
        <v>20870</v>
      </c>
      <c r="X30" s="111">
        <v>20870</v>
      </c>
      <c r="Y30" s="111">
        <v>20870</v>
      </c>
      <c r="Z30" s="111">
        <v>54414</v>
      </c>
      <c r="AA30" s="111">
        <v>54129</v>
      </c>
      <c r="AB30" s="111"/>
      <c r="AC30" s="111">
        <v>55109</v>
      </c>
      <c r="AD30" s="111">
        <v>55427</v>
      </c>
      <c r="AE30" s="111">
        <v>45945</v>
      </c>
      <c r="AF30" s="111">
        <v>48225</v>
      </c>
      <c r="AG30" s="111">
        <v>48225</v>
      </c>
      <c r="AI30" s="111">
        <v>47262</v>
      </c>
      <c r="AJ30" s="111">
        <v>46974</v>
      </c>
      <c r="AK30" s="111">
        <v>45919</v>
      </c>
      <c r="AL30" s="111">
        <v>48444</v>
      </c>
      <c r="AM30" s="111"/>
      <c r="AN30" s="111">
        <v>50533</v>
      </c>
      <c r="AO30" s="111">
        <v>50211</v>
      </c>
      <c r="AP30" s="111">
        <v>49675</v>
      </c>
      <c r="AQ30" s="118">
        <v>53721</v>
      </c>
      <c r="AR30" s="206"/>
      <c r="AS30" s="118">
        <v>54700</v>
      </c>
      <c r="AT30" s="118">
        <v>54786</v>
      </c>
      <c r="AU30" s="118">
        <v>54729</v>
      </c>
      <c r="AV30" s="118">
        <v>56866</v>
      </c>
      <c r="AW30" s="206"/>
      <c r="AX30" s="118">
        <v>56632</v>
      </c>
      <c r="AY30" s="118">
        <v>56014</v>
      </c>
      <c r="AZ30" s="111">
        <v>55340</v>
      </c>
      <c r="BA30" s="111">
        <v>57993</v>
      </c>
      <c r="BB30" s="206"/>
      <c r="BC30" s="111">
        <v>56208</v>
      </c>
      <c r="BD30" s="111">
        <v>54824</v>
      </c>
      <c r="BE30" s="111">
        <v>54394</v>
      </c>
      <c r="BF30" s="111">
        <v>57170</v>
      </c>
    </row>
    <row r="31" spans="2:58" ht="16.5" customHeight="1">
      <c r="B31" s="15" t="s">
        <v>136</v>
      </c>
      <c r="C31" s="29">
        <v>2272</v>
      </c>
      <c r="D31" s="29"/>
      <c r="E31" s="29">
        <v>3294</v>
      </c>
      <c r="F31" s="29">
        <v>-14</v>
      </c>
      <c r="G31" s="29">
        <v>8738</v>
      </c>
      <c r="H31" s="29">
        <v>168</v>
      </c>
      <c r="J31" s="29">
        <v>0</v>
      </c>
      <c r="K31" s="29">
        <v>0</v>
      </c>
      <c r="L31" s="29">
        <v>16436</v>
      </c>
      <c r="M31" s="110">
        <v>324</v>
      </c>
      <c r="N31" s="110">
        <v>324</v>
      </c>
      <c r="P31" s="111">
        <v>0</v>
      </c>
      <c r="Q31" s="111">
        <v>0</v>
      </c>
      <c r="R31" s="111">
        <v>0</v>
      </c>
      <c r="S31" s="111">
        <v>0</v>
      </c>
      <c r="T31" s="111">
        <v>0</v>
      </c>
      <c r="U31" s="111">
        <v>0</v>
      </c>
      <c r="V31" s="111">
        <v>650</v>
      </c>
      <c r="X31" s="111">
        <v>701</v>
      </c>
      <c r="Y31" s="111">
        <v>548</v>
      </c>
      <c r="Z31" s="111">
        <v>563</v>
      </c>
      <c r="AA31" s="111">
        <v>2533</v>
      </c>
      <c r="AB31" s="111"/>
      <c r="AC31" s="111">
        <v>8278</v>
      </c>
      <c r="AD31" s="111">
        <v>10384</v>
      </c>
      <c r="AE31" s="111">
        <v>11024</v>
      </c>
      <c r="AF31" s="111">
        <v>309</v>
      </c>
      <c r="AG31" s="111">
        <v>309</v>
      </c>
      <c r="AI31" s="111">
        <v>0</v>
      </c>
      <c r="AJ31" s="111">
        <v>0</v>
      </c>
      <c r="AK31" s="111">
        <v>715</v>
      </c>
      <c r="AL31" s="111">
        <v>3675</v>
      </c>
      <c r="AM31" s="111"/>
      <c r="AN31" s="111">
        <v>0</v>
      </c>
      <c r="AO31" s="111">
        <v>0</v>
      </c>
      <c r="AP31" s="111">
        <v>4546</v>
      </c>
      <c r="AQ31" s="118">
        <v>0</v>
      </c>
      <c r="AR31" s="206"/>
      <c r="AS31" s="118">
        <v>2292</v>
      </c>
      <c r="AT31" s="118">
        <v>15578</v>
      </c>
      <c r="AU31" s="118">
        <v>15690</v>
      </c>
      <c r="AV31" s="118">
        <v>15974</v>
      </c>
      <c r="AW31" s="206"/>
      <c r="AX31" s="118">
        <v>21352</v>
      </c>
      <c r="AY31" s="118">
        <v>42541</v>
      </c>
      <c r="AZ31" s="111">
        <v>71990</v>
      </c>
      <c r="BA31" s="111">
        <v>87544</v>
      </c>
      <c r="BB31" s="206"/>
      <c r="BC31" s="111">
        <v>54920</v>
      </c>
      <c r="BD31" s="111">
        <v>30692</v>
      </c>
      <c r="BE31" s="111">
        <v>42722</v>
      </c>
      <c r="BF31" s="111">
        <v>34916</v>
      </c>
    </row>
    <row r="32" spans="2:58" ht="16.5" customHeight="1">
      <c r="B32" s="15" t="s">
        <v>155</v>
      </c>
      <c r="C32" s="30">
        <v>0</v>
      </c>
      <c r="D32" s="30"/>
      <c r="E32" s="30">
        <v>0</v>
      </c>
      <c r="F32" s="30">
        <v>0</v>
      </c>
      <c r="G32" s="30">
        <v>0</v>
      </c>
      <c r="H32" s="30">
        <v>0</v>
      </c>
      <c r="J32" s="30">
        <v>0</v>
      </c>
      <c r="K32" s="30">
        <v>0</v>
      </c>
      <c r="L32" s="30">
        <v>0</v>
      </c>
      <c r="M32" s="110">
        <v>10019</v>
      </c>
      <c r="N32" s="110">
        <v>10019</v>
      </c>
      <c r="P32" s="111">
        <v>9650</v>
      </c>
      <c r="Q32" s="111">
        <v>9650</v>
      </c>
      <c r="R32" s="111">
        <v>0</v>
      </c>
      <c r="S32" s="111">
        <v>0</v>
      </c>
      <c r="T32" s="111">
        <v>0</v>
      </c>
      <c r="U32" s="111">
        <v>0</v>
      </c>
      <c r="V32" s="111">
        <v>0</v>
      </c>
      <c r="X32" s="111">
        <v>0</v>
      </c>
      <c r="Y32" s="111">
        <v>0</v>
      </c>
      <c r="Z32" s="111">
        <v>0</v>
      </c>
      <c r="AA32" s="111">
        <v>0</v>
      </c>
      <c r="AB32" s="111"/>
      <c r="AC32" s="111">
        <v>0</v>
      </c>
      <c r="AD32" s="111">
        <v>0</v>
      </c>
      <c r="AE32" s="111">
        <v>0</v>
      </c>
      <c r="AF32" s="111">
        <v>0</v>
      </c>
      <c r="AG32" s="111">
        <v>0</v>
      </c>
      <c r="AI32" s="111">
        <v>0</v>
      </c>
      <c r="AJ32" s="111">
        <v>0</v>
      </c>
      <c r="AK32" s="111">
        <v>0</v>
      </c>
      <c r="AL32" s="111">
        <v>0</v>
      </c>
      <c r="AM32" s="111"/>
      <c r="AN32" s="111">
        <v>0</v>
      </c>
      <c r="AO32" s="111">
        <v>0</v>
      </c>
      <c r="AP32" s="111">
        <v>0</v>
      </c>
      <c r="AQ32" s="118">
        <v>0</v>
      </c>
      <c r="AR32" s="206"/>
      <c r="AS32" s="118">
        <v>0</v>
      </c>
      <c r="AT32" s="118">
        <v>0</v>
      </c>
      <c r="AU32" s="118">
        <v>0</v>
      </c>
      <c r="AV32" s="118">
        <v>0</v>
      </c>
      <c r="AW32" s="206"/>
      <c r="AX32" s="118">
        <v>0</v>
      </c>
      <c r="AY32" s="118">
        <v>0</v>
      </c>
      <c r="AZ32" s="111">
        <v>0</v>
      </c>
      <c r="BA32" s="111">
        <v>0</v>
      </c>
      <c r="BB32" s="206"/>
      <c r="BC32" s="111">
        <v>0</v>
      </c>
      <c r="BD32" s="111">
        <v>0</v>
      </c>
      <c r="BE32" s="111">
        <v>0</v>
      </c>
      <c r="BF32" s="111">
        <v>0</v>
      </c>
    </row>
    <row r="33" spans="1:58">
      <c r="B33" s="15" t="s">
        <v>157</v>
      </c>
      <c r="C33" s="30">
        <v>8897</v>
      </c>
      <c r="D33" s="30"/>
      <c r="E33" s="30">
        <v>11471</v>
      </c>
      <c r="F33" s="30">
        <f>12131-1</f>
        <v>12130</v>
      </c>
      <c r="G33" s="30">
        <f>12457-1</f>
        <v>12456</v>
      </c>
      <c r="H33" s="30">
        <v>7409</v>
      </c>
      <c r="J33" s="30">
        <f>8720-1</f>
        <v>8719</v>
      </c>
      <c r="K33" s="30">
        <v>7936</v>
      </c>
      <c r="L33" s="30">
        <v>21769</v>
      </c>
      <c r="M33" s="110">
        <v>12631</v>
      </c>
      <c r="N33" s="110">
        <f>12614+6515</f>
        <v>19129</v>
      </c>
      <c r="P33" s="111">
        <v>23927</v>
      </c>
      <c r="Q33" s="111">
        <v>23927</v>
      </c>
      <c r="R33" s="111">
        <v>22962</v>
      </c>
      <c r="S33" s="111">
        <v>22962</v>
      </c>
      <c r="T33" s="111">
        <v>29701</v>
      </c>
      <c r="U33" s="111">
        <v>29701</v>
      </c>
      <c r="V33" s="111">
        <f>11825+6515</f>
        <v>18340</v>
      </c>
      <c r="X33" s="111">
        <v>34429</v>
      </c>
      <c r="Y33" s="111">
        <v>32531</v>
      </c>
      <c r="Z33" s="111">
        <v>30597</v>
      </c>
      <c r="AA33" s="111">
        <v>23678</v>
      </c>
      <c r="AB33" s="111"/>
      <c r="AC33" s="111">
        <v>21330</v>
      </c>
      <c r="AD33" s="111">
        <v>19885</v>
      </c>
      <c r="AE33" s="111">
        <v>11582</v>
      </c>
      <c r="AF33" s="111">
        <v>11137</v>
      </c>
      <c r="AG33" s="111">
        <v>11137</v>
      </c>
      <c r="AI33" s="111">
        <v>8536</v>
      </c>
      <c r="AJ33" s="111">
        <v>7005</v>
      </c>
      <c r="AK33" s="111">
        <v>7494</v>
      </c>
      <c r="AL33" s="111">
        <v>120140</v>
      </c>
      <c r="AM33" s="111"/>
      <c r="AN33" s="111">
        <v>126913</v>
      </c>
      <c r="AO33" s="111">
        <v>113488</v>
      </c>
      <c r="AP33" s="111">
        <v>117153</v>
      </c>
      <c r="AQ33" s="118">
        <v>105891</v>
      </c>
      <c r="AR33" s="206"/>
      <c r="AS33" s="118">
        <v>115293</v>
      </c>
      <c r="AT33" s="118">
        <v>116149</v>
      </c>
      <c r="AU33" s="118">
        <v>121325</v>
      </c>
      <c r="AV33" s="118">
        <v>122946</v>
      </c>
      <c r="AW33" s="206"/>
      <c r="AX33" s="118">
        <v>116476</v>
      </c>
      <c r="AY33" s="118">
        <v>129945</v>
      </c>
      <c r="AZ33" s="111">
        <v>143940</v>
      </c>
      <c r="BA33" s="111">
        <v>150268</v>
      </c>
      <c r="BB33" s="206"/>
      <c r="BC33" s="111">
        <v>144998</v>
      </c>
      <c r="BD33" s="111">
        <v>136630</v>
      </c>
      <c r="BE33" s="111">
        <v>126351</v>
      </c>
      <c r="BF33" s="111">
        <v>94376</v>
      </c>
    </row>
    <row r="34" spans="1:58" ht="7.5" customHeight="1">
      <c r="B34" s="15"/>
      <c r="C34" s="22"/>
      <c r="D34" s="22"/>
      <c r="E34" s="22"/>
      <c r="F34" s="22"/>
      <c r="G34" s="22"/>
      <c r="H34" s="22"/>
      <c r="J34" s="22"/>
      <c r="K34" s="22"/>
      <c r="L34" s="22"/>
      <c r="M34" s="22"/>
      <c r="N34" s="22"/>
      <c r="P34" s="22"/>
      <c r="Q34" s="22"/>
      <c r="R34" s="22"/>
      <c r="S34" s="22"/>
      <c r="T34" s="22"/>
      <c r="U34" s="22"/>
      <c r="V34" s="22"/>
      <c r="X34" s="22"/>
      <c r="Y34" s="22"/>
      <c r="Z34" s="22"/>
      <c r="AA34" s="22"/>
      <c r="AB34" s="22"/>
      <c r="AC34" s="22"/>
      <c r="AD34" s="22"/>
      <c r="AE34" s="22"/>
      <c r="AF34" s="22"/>
      <c r="AG34" s="22"/>
      <c r="AI34" s="22"/>
      <c r="AJ34" s="22"/>
      <c r="AK34" s="22"/>
      <c r="AL34" s="22"/>
      <c r="AM34" s="22"/>
      <c r="AN34" s="22"/>
      <c r="AO34" s="22"/>
      <c r="AP34" s="22"/>
      <c r="AQ34" s="22"/>
      <c r="AR34" s="206"/>
      <c r="AS34" s="22"/>
      <c r="AT34" s="22"/>
      <c r="AU34" s="22"/>
      <c r="AV34" s="22"/>
      <c r="AW34" s="206"/>
      <c r="AX34" s="22"/>
      <c r="AY34" s="22"/>
      <c r="AZ34" s="22"/>
      <c r="BA34" s="22"/>
      <c r="BB34" s="206"/>
      <c r="BC34" s="22"/>
      <c r="BD34" s="22"/>
      <c r="BE34" s="22"/>
    </row>
    <row r="35" spans="1:58" ht="13">
      <c r="B35" s="24" t="s">
        <v>54</v>
      </c>
      <c r="C35" s="25">
        <f>SUM(C21:C34)</f>
        <v>24800529</v>
      </c>
      <c r="D35" s="25"/>
      <c r="E35" s="25">
        <f>SUM(E21:E34)</f>
        <v>26647898</v>
      </c>
      <c r="F35" s="25">
        <f>SUM(F21:F34)</f>
        <v>27347775</v>
      </c>
      <c r="G35" s="25">
        <f>SUM(G21:G34)</f>
        <v>27296856</v>
      </c>
      <c r="H35" s="25">
        <f>SUM(H21:H34)</f>
        <v>30562865</v>
      </c>
      <c r="J35" s="25">
        <f>SUM(J21:J34)</f>
        <v>29761991</v>
      </c>
      <c r="K35" s="25">
        <f>SUM(K21:K34)</f>
        <v>31238081</v>
      </c>
      <c r="L35" s="25">
        <f>SUM(L21:L34)</f>
        <v>34753986</v>
      </c>
      <c r="M35" s="25">
        <f>SUM(M21:M34)</f>
        <v>36107042</v>
      </c>
      <c r="N35" s="25">
        <f>SUM(N21:N34)</f>
        <v>36549252</v>
      </c>
      <c r="P35" s="25">
        <f t="shared" ref="P35:V35" si="10">SUM(P21:P34)</f>
        <v>35545446</v>
      </c>
      <c r="Q35" s="25">
        <f t="shared" si="10"/>
        <v>35950731</v>
      </c>
      <c r="R35" s="25">
        <f t="shared" si="10"/>
        <v>36057831</v>
      </c>
      <c r="S35" s="25">
        <f t="shared" si="10"/>
        <v>36450546</v>
      </c>
      <c r="T35" s="25">
        <f t="shared" si="10"/>
        <v>36250457</v>
      </c>
      <c r="U35" s="25">
        <f t="shared" si="10"/>
        <v>36301623</v>
      </c>
      <c r="V35" s="25">
        <f t="shared" si="10"/>
        <v>38497982</v>
      </c>
      <c r="X35" s="25">
        <f>SUM(X21:X34)</f>
        <v>39934961</v>
      </c>
      <c r="Y35" s="25">
        <f>SUM(Y21:Y34)</f>
        <v>40901418</v>
      </c>
      <c r="Z35" s="25">
        <f>SUM(Z21:Z34)</f>
        <v>40285537</v>
      </c>
      <c r="AA35" s="25">
        <f>SUM(AA21:AA34)</f>
        <v>40817829</v>
      </c>
      <c r="AB35" s="25"/>
      <c r="AC35" s="25">
        <f>SUM(AC21:AC34)</f>
        <v>39217002</v>
      </c>
      <c r="AD35" s="25">
        <f>SUM(AD21:AD34)</f>
        <v>40077684</v>
      </c>
      <c r="AE35" s="25">
        <f>SUM(AE21:AE34)</f>
        <v>40357099</v>
      </c>
      <c r="AF35" s="25">
        <f>SUM(AF21:AF34)</f>
        <v>41862398</v>
      </c>
      <c r="AG35" s="25">
        <f>SUM(AG21:AG34)</f>
        <v>41822958</v>
      </c>
      <c r="AI35" s="25">
        <v>42446939</v>
      </c>
      <c r="AJ35" s="25">
        <v>44344491</v>
      </c>
      <c r="AK35" s="25">
        <v>45345523</v>
      </c>
      <c r="AL35" s="25">
        <v>43698302</v>
      </c>
      <c r="AM35" s="25"/>
      <c r="AN35" s="25">
        <v>47235437</v>
      </c>
      <c r="AO35" s="25">
        <v>45502224</v>
      </c>
      <c r="AP35" s="25">
        <v>46568719</v>
      </c>
      <c r="AQ35" s="25">
        <f>SUM(AQ21:AQ34)</f>
        <v>44107516</v>
      </c>
      <c r="AR35" s="206"/>
      <c r="AS35" s="25">
        <f>SUM(AS21:AS34)</f>
        <v>45578498</v>
      </c>
      <c r="AT35" s="25">
        <f>SUM(AT21:AT34)</f>
        <v>45381668</v>
      </c>
      <c r="AU35" s="25">
        <f>SUM(AU21:AU34)</f>
        <v>45898748</v>
      </c>
      <c r="AV35" s="25">
        <f>SUM(AV21:AV34)</f>
        <v>44600087</v>
      </c>
      <c r="AW35" s="206"/>
      <c r="AX35" s="25">
        <f>SUM(AX21:AX34)</f>
        <v>44369238</v>
      </c>
      <c r="AY35" s="25">
        <f>SUM(AY21:AY34)</f>
        <v>43998700</v>
      </c>
      <c r="AZ35" s="25">
        <v>43883602</v>
      </c>
      <c r="BA35" s="25">
        <f>SUM(BA21:BA34)</f>
        <v>43247690</v>
      </c>
      <c r="BB35" s="206"/>
      <c r="BC35" s="25">
        <v>43850670</v>
      </c>
      <c r="BD35" s="25">
        <v>40066059</v>
      </c>
      <c r="BE35" s="25">
        <v>39730092</v>
      </c>
      <c r="BF35" s="25">
        <v>39363790</v>
      </c>
    </row>
    <row r="36" spans="1:58" ht="5.25" customHeight="1">
      <c r="B36" s="15"/>
      <c r="C36" s="22"/>
      <c r="D36" s="22"/>
      <c r="E36" s="22"/>
      <c r="F36" s="22"/>
      <c r="G36" s="22"/>
      <c r="H36" s="22"/>
      <c r="J36" s="22"/>
      <c r="K36" s="22"/>
      <c r="L36" s="22"/>
      <c r="M36" s="22"/>
      <c r="N36" s="22"/>
      <c r="P36" s="22"/>
      <c r="Q36" s="22"/>
      <c r="R36" s="22"/>
      <c r="S36" s="22"/>
      <c r="T36" s="22"/>
      <c r="U36" s="22"/>
      <c r="V36" s="22"/>
      <c r="X36" s="22"/>
      <c r="Y36" s="22"/>
      <c r="Z36" s="22"/>
      <c r="AA36" s="22"/>
      <c r="AB36" s="22"/>
      <c r="AC36" s="22"/>
      <c r="AD36" s="22"/>
      <c r="AE36" s="22"/>
      <c r="AF36" s="22"/>
      <c r="AG36" s="22"/>
      <c r="AI36" s="22"/>
      <c r="AJ36" s="22"/>
      <c r="AK36" s="22"/>
      <c r="AL36" s="22"/>
      <c r="AM36" s="22"/>
      <c r="AN36" s="22"/>
      <c r="AO36" s="22"/>
      <c r="AP36" s="22"/>
      <c r="AQ36" s="22"/>
      <c r="AR36" s="206"/>
      <c r="AS36" s="22"/>
      <c r="AT36" s="22"/>
      <c r="AU36" s="22"/>
      <c r="AV36" s="22"/>
      <c r="AW36" s="206"/>
      <c r="AX36" s="22"/>
      <c r="AY36" s="22"/>
      <c r="BA36" s="22"/>
      <c r="BB36" s="206"/>
      <c r="BC36" s="22"/>
      <c r="BD36" s="22"/>
      <c r="BE36" s="22"/>
      <c r="BF36" s="22"/>
    </row>
    <row r="37" spans="1:58" ht="16.5" customHeight="1">
      <c r="B37" s="37" t="s">
        <v>55</v>
      </c>
      <c r="C37" s="40">
        <f>+C19+C35</f>
        <v>27984896</v>
      </c>
      <c r="D37" s="40"/>
      <c r="E37" s="40">
        <f>+E19+E35</f>
        <v>30798667</v>
      </c>
      <c r="F37" s="40">
        <f>+F19+F35</f>
        <v>31438743</v>
      </c>
      <c r="G37" s="40">
        <f>+G19+G35</f>
        <v>31799673</v>
      </c>
      <c r="H37" s="40">
        <f>+H19+H35</f>
        <v>34299484</v>
      </c>
      <c r="I37" s="39"/>
      <c r="J37" s="40">
        <f>+J19+J35</f>
        <v>34136094</v>
      </c>
      <c r="K37" s="40">
        <f>+K19+K35</f>
        <v>35244308</v>
      </c>
      <c r="L37" s="40">
        <f>+L19+L35</f>
        <v>40107016</v>
      </c>
      <c r="M37" s="40">
        <f>+M19+M35</f>
        <v>41775013</v>
      </c>
      <c r="N37" s="40">
        <f>+N19+N35</f>
        <v>42080401</v>
      </c>
      <c r="P37" s="40">
        <f t="shared" ref="P37:V37" si="11">+P19+P35</f>
        <v>41561107</v>
      </c>
      <c r="Q37" s="40">
        <f t="shared" si="11"/>
        <v>41871652</v>
      </c>
      <c r="R37" s="40">
        <f t="shared" si="11"/>
        <v>41943681</v>
      </c>
      <c r="S37" s="40">
        <f t="shared" si="11"/>
        <v>42241655</v>
      </c>
      <c r="T37" s="40">
        <f t="shared" si="11"/>
        <v>42536797</v>
      </c>
      <c r="U37" s="40">
        <f t="shared" si="11"/>
        <v>42487715</v>
      </c>
      <c r="V37" s="40">
        <f t="shared" si="11"/>
        <v>44749574</v>
      </c>
      <c r="X37" s="40">
        <f>+X19+X35</f>
        <v>47016433</v>
      </c>
      <c r="Y37" s="40">
        <f>+Y19+Y35</f>
        <v>47714519</v>
      </c>
      <c r="Z37" s="40">
        <f>+Z19+Z35</f>
        <v>47163880</v>
      </c>
      <c r="AA37" s="40">
        <f>+AA19+AA35</f>
        <v>47567948</v>
      </c>
      <c r="AB37" s="25"/>
      <c r="AC37" s="40">
        <f>+AC19+AC35</f>
        <v>45723958</v>
      </c>
      <c r="AD37" s="40">
        <f>+AD19+AD35</f>
        <v>46769908</v>
      </c>
      <c r="AE37" s="40">
        <f>+AE19+AE35</f>
        <v>46906935</v>
      </c>
      <c r="AF37" s="40">
        <f>+AF19+AF35</f>
        <v>48714353</v>
      </c>
      <c r="AG37" s="25">
        <f>+AG19+AG35</f>
        <v>48647882</v>
      </c>
      <c r="AI37" s="40">
        <v>49210806</v>
      </c>
      <c r="AJ37" s="40">
        <v>51285426</v>
      </c>
      <c r="AK37" s="25">
        <v>52739611</v>
      </c>
      <c r="AL37" s="25">
        <v>50825141</v>
      </c>
      <c r="AM37" s="25"/>
      <c r="AN37" s="25">
        <v>55779735</v>
      </c>
      <c r="AO37" s="25">
        <v>53912319</v>
      </c>
      <c r="AP37" s="25">
        <v>54272004</v>
      </c>
      <c r="AQ37" s="25">
        <f>+AQ19+AQ35</f>
        <v>50773567</v>
      </c>
      <c r="AR37" s="206"/>
      <c r="AS37" s="25">
        <f>+AS19+AS35</f>
        <v>52829868</v>
      </c>
      <c r="AT37" s="25">
        <f>+AT19+AT35</f>
        <v>52551734</v>
      </c>
      <c r="AU37" s="25">
        <f>+AU19+AU35</f>
        <v>53183135</v>
      </c>
      <c r="AV37" s="25">
        <f>+AV19+AV35</f>
        <v>52589344</v>
      </c>
      <c r="AW37" s="206"/>
      <c r="AX37" s="25">
        <f>+AX19+AX35</f>
        <v>52018469</v>
      </c>
      <c r="AY37" s="25">
        <f>+AY19+AY35</f>
        <v>51303900</v>
      </c>
      <c r="AZ37" s="25">
        <v>53859278</v>
      </c>
      <c r="BA37" s="25">
        <f>+BA19+BA35</f>
        <v>56941068</v>
      </c>
      <c r="BB37" s="206"/>
      <c r="BC37" s="25">
        <v>57112838</v>
      </c>
      <c r="BD37" s="25">
        <v>52323245</v>
      </c>
      <c r="BE37" s="25">
        <v>52312696</v>
      </c>
      <c r="BF37" s="25">
        <v>49402341</v>
      </c>
    </row>
    <row r="38" spans="1:58" ht="16.5" customHeight="1">
      <c r="B38" s="41" t="s">
        <v>48</v>
      </c>
      <c r="C38" s="42">
        <f>+C37/C95</f>
        <v>14523.801269442556</v>
      </c>
      <c r="D38" s="42"/>
      <c r="E38" s="42">
        <f>+E37/E95</f>
        <v>15671.069851220158</v>
      </c>
      <c r="F38" s="42">
        <f>+F37/F95</f>
        <v>16712.157198369117</v>
      </c>
      <c r="G38" s="42">
        <f>+G37/G95</f>
        <v>15676.601691907241</v>
      </c>
      <c r="H38" s="42">
        <f>+H37/H95</f>
        <v>14336.492146159184</v>
      </c>
      <c r="I38" s="43"/>
      <c r="J38" s="42">
        <f>+J37/J95</f>
        <v>13251.332078181711</v>
      </c>
      <c r="K38" s="42">
        <f>+K37/K95</f>
        <v>13633.581549721288</v>
      </c>
      <c r="L38" s="42">
        <f>+L37/L95</f>
        <v>12846.824730776376</v>
      </c>
      <c r="M38" s="42">
        <f>+M37/M95</f>
        <v>13264.140633185902</v>
      </c>
      <c r="N38" s="42">
        <f>+N37/N95</f>
        <v>13361.10551934135</v>
      </c>
      <c r="P38" s="42">
        <f t="shared" ref="P38:V38" si="12">+P37/P95</f>
        <v>13751.255480007279</v>
      </c>
      <c r="Q38" s="42">
        <f t="shared" si="12"/>
        <v>13854.004996112297</v>
      </c>
      <c r="R38" s="42">
        <f t="shared" si="12"/>
        <v>14383.238516537214</v>
      </c>
      <c r="S38" s="42">
        <f t="shared" si="12"/>
        <v>14485.419131388988</v>
      </c>
      <c r="T38" s="42">
        <f t="shared" si="12"/>
        <v>14769.977603777845</v>
      </c>
      <c r="U38" s="42">
        <f t="shared" si="12"/>
        <v>14752.934946787271</v>
      </c>
      <c r="V38" s="42">
        <f t="shared" si="12"/>
        <v>14912.995257788989</v>
      </c>
      <c r="X38" s="42">
        <f>+X37/X95</f>
        <v>16323.790031386274</v>
      </c>
      <c r="Y38" s="42">
        <f>+Y37/Y95</f>
        <v>15704.554251446551</v>
      </c>
      <c r="Z38" s="42">
        <f>+Z37/Z95</f>
        <v>16060.326832773175</v>
      </c>
      <c r="AA38" s="42">
        <f>+AA37/AA95</f>
        <v>15941.001340482573</v>
      </c>
      <c r="AB38" s="136"/>
      <c r="AC38" s="42">
        <f>+AC37/AC95</f>
        <v>16444.686689660382</v>
      </c>
      <c r="AD38" s="42">
        <f>+AD37/AD95</f>
        <v>15958.068786679403</v>
      </c>
      <c r="AE38" s="42">
        <f>+AE37/AE95</f>
        <v>15781.996716215035</v>
      </c>
      <c r="AF38" s="42">
        <f>+AF37/AF95</f>
        <v>14990.18478344488</v>
      </c>
      <c r="AG38" s="136">
        <f>+AG37/AG95</f>
        <v>14969.730594661129</v>
      </c>
      <c r="AI38" s="42">
        <v>15500.491686064275</v>
      </c>
      <c r="AJ38" s="42">
        <v>15998.348551160911</v>
      </c>
      <c r="AK38" s="136">
        <v>15233.812438438941</v>
      </c>
      <c r="AL38" s="136">
        <v>15508.99290234778</v>
      </c>
      <c r="AM38" s="136"/>
      <c r="AN38" s="136">
        <v>13722.593429951216</v>
      </c>
      <c r="AO38" s="136">
        <v>14342.540523715652</v>
      </c>
      <c r="AP38" s="136">
        <v>13991.452303979953</v>
      </c>
      <c r="AQ38" s="136">
        <f>+AQ37/AQ95</f>
        <v>14792.00786598689</v>
      </c>
      <c r="AR38" s="206"/>
      <c r="AS38" s="136">
        <f>+AS37/AS95</f>
        <v>14137.313448811987</v>
      </c>
      <c r="AT38" s="136">
        <f>+AT37/AT95</f>
        <v>13988.914118088625</v>
      </c>
      <c r="AU38" s="136">
        <f>+AU37/AU95</f>
        <v>13868.989068188219</v>
      </c>
      <c r="AV38" s="136">
        <f>+AV37/AV95</f>
        <v>13209.552994604588</v>
      </c>
      <c r="AW38" s="206"/>
      <c r="AX38" s="136">
        <f>+AX37/AX95</f>
        <v>13878.438429625281</v>
      </c>
      <c r="AY38" s="136">
        <f>+AY37/AY95</f>
        <v>12429.866237671018</v>
      </c>
      <c r="AZ38" s="136">
        <v>11884.034889134546</v>
      </c>
      <c r="BA38" s="136">
        <f>+BA37/BA95</f>
        <v>11837.567668704005</v>
      </c>
      <c r="BB38" s="206"/>
      <c r="BC38" s="136">
        <v>12342.663816894194</v>
      </c>
      <c r="BD38" s="136">
        <v>12483.834294058141</v>
      </c>
      <c r="BE38" s="136">
        <v>12904.734370066308</v>
      </c>
      <c r="BF38" s="136">
        <v>12925.613479677137</v>
      </c>
    </row>
    <row r="39" spans="1:58" ht="6.75" customHeight="1">
      <c r="C39" s="10"/>
      <c r="D39" s="10"/>
      <c r="J39" s="10"/>
      <c r="K39" s="10"/>
      <c r="L39" s="10"/>
      <c r="M39" s="10"/>
      <c r="N39" s="10"/>
      <c r="P39" s="10"/>
      <c r="Q39" s="10"/>
      <c r="R39" s="10"/>
      <c r="S39" s="10"/>
      <c r="T39" s="10"/>
      <c r="U39" s="10"/>
      <c r="V39" s="10"/>
      <c r="X39" s="10"/>
      <c r="Y39" s="10"/>
      <c r="Z39" s="10"/>
      <c r="AA39" s="10"/>
      <c r="AB39" s="10"/>
      <c r="AC39" s="10"/>
      <c r="AD39" s="10"/>
      <c r="AE39" s="10"/>
      <c r="AF39" s="10"/>
      <c r="AG39" s="10"/>
      <c r="AI39" s="10"/>
      <c r="AJ39" s="10"/>
      <c r="AK39" s="10"/>
      <c r="AL39" s="10"/>
      <c r="AM39" s="10"/>
      <c r="AN39" s="10"/>
      <c r="AO39" s="10"/>
      <c r="AP39" s="10"/>
      <c r="AQ39" s="10"/>
      <c r="AR39" s="206"/>
      <c r="AS39" s="10"/>
      <c r="AT39" s="10"/>
      <c r="AU39" s="10"/>
      <c r="AV39" s="10"/>
      <c r="AW39" s="206"/>
      <c r="AX39" s="10"/>
      <c r="AY39" s="10"/>
      <c r="AZ39" s="10"/>
      <c r="BA39" s="10"/>
      <c r="BB39" s="206"/>
      <c r="BC39" s="10"/>
      <c r="BD39" s="10"/>
      <c r="BE39" s="10"/>
      <c r="BF39" s="10"/>
    </row>
    <row r="40" spans="1:58" ht="16.5" customHeight="1">
      <c r="B40" s="12" t="s">
        <v>33</v>
      </c>
      <c r="C40" s="29">
        <f>754243+12435</f>
        <v>766678</v>
      </c>
      <c r="D40" s="29"/>
      <c r="E40" s="29">
        <v>1269387</v>
      </c>
      <c r="F40" s="29">
        <v>2666188</v>
      </c>
      <c r="G40" s="29">
        <v>1469420</v>
      </c>
      <c r="H40" s="29">
        <v>1594526</v>
      </c>
      <c r="J40" s="29">
        <v>1999345</v>
      </c>
      <c r="K40" s="29">
        <v>2021761</v>
      </c>
      <c r="L40" s="29">
        <v>2828910</v>
      </c>
      <c r="M40" s="110">
        <v>3305497</v>
      </c>
      <c r="N40" s="110">
        <v>3264839</v>
      </c>
      <c r="P40" s="111">
        <v>3167340</v>
      </c>
      <c r="Q40" s="111">
        <v>3167340</v>
      </c>
      <c r="R40" s="111">
        <v>2646179</v>
      </c>
      <c r="S40" s="111">
        <v>2646179</v>
      </c>
      <c r="T40" s="111">
        <v>2433539</v>
      </c>
      <c r="U40" s="111">
        <v>2433539</v>
      </c>
      <c r="V40" s="111">
        <v>3407874</v>
      </c>
      <c r="X40" s="111">
        <v>4568190</v>
      </c>
      <c r="Y40" s="111">
        <v>3908209</v>
      </c>
      <c r="Z40" s="111">
        <v>3867304</v>
      </c>
      <c r="AA40" s="111">
        <v>2874332</v>
      </c>
      <c r="AB40" s="111"/>
      <c r="AC40" s="111">
        <v>3280206</v>
      </c>
      <c r="AD40" s="111">
        <v>3385004</v>
      </c>
      <c r="AE40" s="111">
        <v>3705938</v>
      </c>
      <c r="AF40" s="111">
        <f>2613134-1</f>
        <v>2613133</v>
      </c>
      <c r="AG40" s="111">
        <f>2613134-1</f>
        <v>2613133</v>
      </c>
      <c r="AI40" s="111">
        <v>3147152</v>
      </c>
      <c r="AJ40" s="111">
        <v>3231081</v>
      </c>
      <c r="AK40" s="111">
        <v>2792083</v>
      </c>
      <c r="AL40" s="111">
        <v>1587714</v>
      </c>
      <c r="AM40" s="111"/>
      <c r="AN40" s="111">
        <v>2348069</v>
      </c>
      <c r="AO40" s="111">
        <v>2904914</v>
      </c>
      <c r="AP40" s="111">
        <v>2135593</v>
      </c>
      <c r="AQ40" s="118">
        <v>1741257</v>
      </c>
      <c r="AR40" s="206"/>
      <c r="AS40" s="118">
        <v>1712248</v>
      </c>
      <c r="AT40" s="118">
        <v>2538565</v>
      </c>
      <c r="AU40" s="118">
        <v>2576395</v>
      </c>
      <c r="AV40" s="118">
        <v>2628060</v>
      </c>
      <c r="AW40" s="206"/>
      <c r="AX40" s="118">
        <v>2159686</v>
      </c>
      <c r="AY40" s="118">
        <v>2417890</v>
      </c>
      <c r="AZ40" s="111">
        <v>2918586</v>
      </c>
      <c r="BA40" s="111">
        <v>1635930</v>
      </c>
      <c r="BB40" s="206"/>
      <c r="BC40" s="111">
        <v>1663498</v>
      </c>
      <c r="BD40" s="111">
        <v>1892743</v>
      </c>
      <c r="BE40" s="111">
        <v>2465933</v>
      </c>
      <c r="BF40" s="111">
        <v>2797619</v>
      </c>
    </row>
    <row r="41" spans="1:58" ht="16.5" customHeight="1">
      <c r="B41" s="12" t="s">
        <v>252</v>
      </c>
      <c r="C41" s="29">
        <v>0</v>
      </c>
      <c r="D41" s="29"/>
      <c r="E41" s="29">
        <v>0</v>
      </c>
      <c r="F41" s="29">
        <v>0</v>
      </c>
      <c r="G41" s="29">
        <v>0</v>
      </c>
      <c r="H41" s="29">
        <v>0</v>
      </c>
      <c r="J41" s="29">
        <v>0</v>
      </c>
      <c r="K41" s="29">
        <v>0</v>
      </c>
      <c r="L41" s="29">
        <v>0</v>
      </c>
      <c r="M41" s="110">
        <v>0</v>
      </c>
      <c r="N41" s="110">
        <v>0</v>
      </c>
      <c r="P41" s="111">
        <v>0</v>
      </c>
      <c r="Q41" s="111">
        <v>0</v>
      </c>
      <c r="R41" s="111">
        <v>0</v>
      </c>
      <c r="S41" s="111">
        <v>0</v>
      </c>
      <c r="T41" s="111">
        <v>0</v>
      </c>
      <c r="U41" s="111">
        <v>0</v>
      </c>
      <c r="V41" s="111">
        <v>0</v>
      </c>
      <c r="X41" s="111">
        <v>0</v>
      </c>
      <c r="Y41" s="111">
        <v>0</v>
      </c>
      <c r="Z41" s="111">
        <v>0</v>
      </c>
      <c r="AA41" s="111">
        <v>0</v>
      </c>
      <c r="AB41" s="111"/>
      <c r="AC41" s="111">
        <v>0</v>
      </c>
      <c r="AD41" s="111">
        <v>0</v>
      </c>
      <c r="AE41" s="111">
        <v>0</v>
      </c>
      <c r="AF41" s="111">
        <v>0</v>
      </c>
      <c r="AG41" s="111">
        <v>0</v>
      </c>
      <c r="AI41" s="111">
        <v>221975</v>
      </c>
      <c r="AJ41" s="111">
        <v>195599</v>
      </c>
      <c r="AK41" s="111">
        <v>132061</v>
      </c>
      <c r="AL41" s="111">
        <v>164605</v>
      </c>
      <c r="AM41" s="111"/>
      <c r="AN41" s="111">
        <v>162302</v>
      </c>
      <c r="AO41" s="111">
        <v>154297</v>
      </c>
      <c r="AP41" s="111">
        <v>138701</v>
      </c>
      <c r="AQ41" s="118">
        <v>132103</v>
      </c>
      <c r="AR41" s="206"/>
      <c r="AS41" s="118">
        <v>134837</v>
      </c>
      <c r="AT41" s="118">
        <v>115660</v>
      </c>
      <c r="AU41" s="118">
        <v>114104</v>
      </c>
      <c r="AV41" s="118">
        <v>137257</v>
      </c>
      <c r="AW41" s="206"/>
      <c r="AX41" s="118">
        <v>130208</v>
      </c>
      <c r="AY41" s="118">
        <v>136921</v>
      </c>
      <c r="AZ41" s="111">
        <v>129693</v>
      </c>
      <c r="BA41" s="111">
        <v>148443</v>
      </c>
      <c r="BB41" s="206"/>
      <c r="BC41" s="111">
        <v>134289</v>
      </c>
      <c r="BD41" s="111">
        <v>115946</v>
      </c>
      <c r="BE41" s="111">
        <v>112470</v>
      </c>
      <c r="BF41" s="111">
        <v>127258</v>
      </c>
    </row>
    <row r="42" spans="1:58" ht="12.75" customHeight="1">
      <c r="A42" s="14"/>
      <c r="B42" s="12" t="s">
        <v>39</v>
      </c>
      <c r="C42" s="29">
        <f>351457+47065</f>
        <v>398522</v>
      </c>
      <c r="D42" s="29"/>
      <c r="E42" s="29">
        <v>357313</v>
      </c>
      <c r="F42" s="29">
        <v>278564</v>
      </c>
      <c r="G42" s="29">
        <v>277886</v>
      </c>
      <c r="H42" s="29">
        <f>422092+47065</f>
        <v>469157</v>
      </c>
      <c r="J42" s="29">
        <v>371397</v>
      </c>
      <c r="K42" s="29">
        <v>404127</v>
      </c>
      <c r="L42" s="29">
        <v>397546</v>
      </c>
      <c r="M42" s="29">
        <f>548185+24935</f>
        <v>573120</v>
      </c>
      <c r="N42" s="29">
        <v>410660</v>
      </c>
      <c r="P42" s="111">
        <v>544029</v>
      </c>
      <c r="Q42" s="111">
        <v>544029</v>
      </c>
      <c r="R42" s="111">
        <v>695158</v>
      </c>
      <c r="S42" s="111">
        <v>695158</v>
      </c>
      <c r="T42" s="111">
        <v>744073</v>
      </c>
      <c r="U42" s="111">
        <v>744073</v>
      </c>
      <c r="V42" s="111">
        <v>760339</v>
      </c>
      <c r="X42" s="111">
        <v>760567</v>
      </c>
      <c r="Y42" s="111">
        <v>755847</v>
      </c>
      <c r="Z42" s="111">
        <v>1015489</v>
      </c>
      <c r="AA42" s="111">
        <v>704251</v>
      </c>
      <c r="AB42" s="111"/>
      <c r="AC42" s="111">
        <v>717532</v>
      </c>
      <c r="AD42" s="111">
        <v>415226</v>
      </c>
      <c r="AE42" s="111">
        <v>307505</v>
      </c>
      <c r="AF42" s="111">
        <v>665719</v>
      </c>
      <c r="AG42" s="111">
        <v>665719</v>
      </c>
      <c r="AI42" s="111">
        <v>664541</v>
      </c>
      <c r="AJ42" s="111">
        <v>859860</v>
      </c>
      <c r="AK42" s="111">
        <v>798019</v>
      </c>
      <c r="AL42" s="111">
        <v>951924</v>
      </c>
      <c r="AM42" s="111"/>
      <c r="AN42" s="111">
        <v>1053342</v>
      </c>
      <c r="AO42" s="111">
        <v>1063702</v>
      </c>
      <c r="AP42" s="111">
        <v>1016084</v>
      </c>
      <c r="AQ42" s="118">
        <v>643567</v>
      </c>
      <c r="AR42" s="206"/>
      <c r="AS42" s="118">
        <v>662964</v>
      </c>
      <c r="AT42" s="118">
        <v>940358</v>
      </c>
      <c r="AU42" s="118">
        <v>1017542</v>
      </c>
      <c r="AV42" s="118">
        <v>1126948</v>
      </c>
      <c r="AW42" s="206"/>
      <c r="AX42" s="118">
        <v>1101224</v>
      </c>
      <c r="AY42" s="118">
        <v>757633</v>
      </c>
      <c r="AZ42" s="111">
        <v>524533</v>
      </c>
      <c r="BA42" s="111">
        <v>830643</v>
      </c>
      <c r="BB42" s="206"/>
      <c r="BC42" s="111">
        <v>839197</v>
      </c>
      <c r="BD42" s="111">
        <v>619015</v>
      </c>
      <c r="BE42" s="111">
        <v>798837</v>
      </c>
      <c r="BF42" s="111">
        <v>404052</v>
      </c>
    </row>
    <row r="43" spans="1:58" ht="16.5" customHeight="1">
      <c r="B43" s="12" t="s">
        <v>138</v>
      </c>
      <c r="C43" s="29">
        <f>913874-72322</f>
        <v>841552</v>
      </c>
      <c r="D43" s="29"/>
      <c r="E43" s="29">
        <v>1177180</v>
      </c>
      <c r="F43" s="29">
        <f>1863210+1</f>
        <v>1863211</v>
      </c>
      <c r="G43" s="29">
        <f>1593004</f>
        <v>1593004</v>
      </c>
      <c r="H43" s="29">
        <f>1365778-71013</f>
        <v>1294765</v>
      </c>
      <c r="J43" s="29">
        <v>1686160</v>
      </c>
      <c r="K43" s="29">
        <f>1463741+1</f>
        <v>1463742</v>
      </c>
      <c r="L43" s="29">
        <v>1825733</v>
      </c>
      <c r="M43" s="29">
        <f>1925576-44432</f>
        <v>1881144</v>
      </c>
      <c r="N43" s="29">
        <f>1879441-78634</f>
        <v>1800807</v>
      </c>
      <c r="P43" s="111">
        <v>2319547</v>
      </c>
      <c r="Q43" s="111">
        <v>2320289</v>
      </c>
      <c r="R43" s="111">
        <v>1979360</v>
      </c>
      <c r="S43" s="111">
        <v>1979513</v>
      </c>
      <c r="T43" s="111">
        <v>1784599</v>
      </c>
      <c r="U43" s="111">
        <v>1785640</v>
      </c>
      <c r="V43" s="111">
        <f>1646522-79157</f>
        <v>1567365</v>
      </c>
      <c r="X43" s="111">
        <v>2839627</v>
      </c>
      <c r="Y43" s="111">
        <v>2406692</v>
      </c>
      <c r="Z43" s="111">
        <v>2215714</v>
      </c>
      <c r="AA43" s="111">
        <v>2116725</v>
      </c>
      <c r="AB43" s="111"/>
      <c r="AC43" s="111">
        <v>2182165</v>
      </c>
      <c r="AD43" s="111">
        <v>2385460</v>
      </c>
      <c r="AE43" s="111">
        <v>2105770</v>
      </c>
      <c r="AF43" s="111">
        <v>2348111</v>
      </c>
      <c r="AG43" s="111">
        <v>2449899</v>
      </c>
      <c r="AI43" s="111">
        <v>2662684</v>
      </c>
      <c r="AJ43" s="111">
        <v>2716187</v>
      </c>
      <c r="AK43" s="111">
        <v>2599395</v>
      </c>
      <c r="AL43" s="111">
        <v>2734393</v>
      </c>
      <c r="AM43" s="111"/>
      <c r="AN43" s="111">
        <v>3437710</v>
      </c>
      <c r="AO43" s="111">
        <v>2950859</v>
      </c>
      <c r="AP43" s="111">
        <v>2692937</v>
      </c>
      <c r="AQ43" s="118">
        <v>2353159</v>
      </c>
      <c r="AR43" s="206"/>
      <c r="AS43" s="118">
        <v>3149689</v>
      </c>
      <c r="AT43" s="118">
        <v>2596634</v>
      </c>
      <c r="AU43" s="118">
        <v>2611813</v>
      </c>
      <c r="AV43" s="118">
        <v>2603991</v>
      </c>
      <c r="AW43" s="206"/>
      <c r="AX43" s="118">
        <v>3465274</v>
      </c>
      <c r="AY43" s="118">
        <v>3300641</v>
      </c>
      <c r="AZ43" s="111">
        <v>2653270</v>
      </c>
      <c r="BA43" s="111">
        <v>2840691</v>
      </c>
      <c r="BB43" s="206"/>
      <c r="BC43" s="111">
        <v>3382742</v>
      </c>
      <c r="BD43" s="111">
        <v>3207952</v>
      </c>
      <c r="BE43" s="111">
        <v>3502050</v>
      </c>
      <c r="BF43" s="111">
        <v>3490702</v>
      </c>
    </row>
    <row r="44" spans="1:58" ht="16.5" customHeight="1">
      <c r="B44" s="12" t="s">
        <v>132</v>
      </c>
      <c r="C44" s="29">
        <v>94012</v>
      </c>
      <c r="D44" s="29"/>
      <c r="E44" s="29">
        <v>120444</v>
      </c>
      <c r="F44" s="29">
        <v>116012</v>
      </c>
      <c r="G44" s="29">
        <v>122011</v>
      </c>
      <c r="H44" s="29">
        <v>99531</v>
      </c>
      <c r="J44" s="29">
        <v>113818</v>
      </c>
      <c r="K44" s="29">
        <v>120852</v>
      </c>
      <c r="L44" s="29">
        <v>171749</v>
      </c>
      <c r="M44" s="29">
        <v>307137</v>
      </c>
      <c r="N44" s="29">
        <v>306708</v>
      </c>
      <c r="P44" s="111">
        <v>303660</v>
      </c>
      <c r="Q44" s="111">
        <v>312192</v>
      </c>
      <c r="R44" s="111">
        <v>310172</v>
      </c>
      <c r="S44" s="111">
        <v>313121</v>
      </c>
      <c r="T44" s="111">
        <v>327919</v>
      </c>
      <c r="U44" s="111">
        <v>318945</v>
      </c>
      <c r="V44" s="111">
        <v>328471</v>
      </c>
      <c r="X44" s="111">
        <v>331590</v>
      </c>
      <c r="Y44" s="111">
        <v>346850</v>
      </c>
      <c r="Z44" s="111">
        <v>337961</v>
      </c>
      <c r="AA44" s="111">
        <v>340185</v>
      </c>
      <c r="AB44" s="111"/>
      <c r="AC44" s="111">
        <v>328365</v>
      </c>
      <c r="AD44" s="111">
        <v>322243</v>
      </c>
      <c r="AE44" s="111">
        <v>329681</v>
      </c>
      <c r="AF44" s="111">
        <v>337855</v>
      </c>
      <c r="AG44" s="111">
        <v>337855</v>
      </c>
      <c r="AI44" s="111">
        <v>331083</v>
      </c>
      <c r="AJ44" s="111">
        <v>323892</v>
      </c>
      <c r="AK44" s="111">
        <v>338418</v>
      </c>
      <c r="AL44" s="111">
        <v>336153</v>
      </c>
      <c r="AM44" s="111"/>
      <c r="AN44" s="111">
        <v>335838</v>
      </c>
      <c r="AO44" s="111">
        <v>330069</v>
      </c>
      <c r="AP44" s="111">
        <v>324970</v>
      </c>
      <c r="AQ44" s="118">
        <v>430062</v>
      </c>
      <c r="AR44" s="206"/>
      <c r="AS44" s="118">
        <v>373242</v>
      </c>
      <c r="AT44" s="118">
        <v>373211</v>
      </c>
      <c r="AU44" s="118">
        <v>362924</v>
      </c>
      <c r="AV44" s="118">
        <v>309164</v>
      </c>
      <c r="AW44" s="206"/>
      <c r="AX44" s="118">
        <v>139876</v>
      </c>
      <c r="AY44" s="118">
        <v>131057</v>
      </c>
      <c r="AZ44" s="111">
        <v>134657</v>
      </c>
      <c r="BA44" s="111">
        <v>142956</v>
      </c>
      <c r="BB44" s="206"/>
      <c r="BC44" s="111">
        <v>96697</v>
      </c>
      <c r="BD44" s="111">
        <v>87569</v>
      </c>
      <c r="BE44" s="111">
        <v>85509</v>
      </c>
      <c r="BF44" s="111">
        <v>99539</v>
      </c>
    </row>
    <row r="45" spans="1:58" ht="16.5" customHeight="1">
      <c r="B45" s="12" t="s">
        <v>137</v>
      </c>
      <c r="C45" s="29">
        <v>377955</v>
      </c>
      <c r="D45" s="29"/>
      <c r="E45" s="29">
        <v>423058</v>
      </c>
      <c r="F45" s="29">
        <v>410678</v>
      </c>
      <c r="G45" s="29">
        <v>399074</v>
      </c>
      <c r="H45" s="29">
        <v>300784</v>
      </c>
      <c r="J45" s="29">
        <v>398432</v>
      </c>
      <c r="K45" s="29">
        <v>417923</v>
      </c>
      <c r="L45" s="29">
        <v>520494</v>
      </c>
      <c r="M45" s="29">
        <v>264623</v>
      </c>
      <c r="N45" s="29">
        <v>264623</v>
      </c>
      <c r="P45" s="111">
        <v>578747</v>
      </c>
      <c r="Q45" s="111">
        <v>339336</v>
      </c>
      <c r="R45" s="111">
        <v>521686</v>
      </c>
      <c r="S45" s="111">
        <v>318559</v>
      </c>
      <c r="T45" s="111">
        <v>556587</v>
      </c>
      <c r="U45" s="111">
        <v>407780</v>
      </c>
      <c r="V45" s="111">
        <v>169270</v>
      </c>
      <c r="X45" s="111">
        <v>226125</v>
      </c>
      <c r="Y45" s="111">
        <v>223377</v>
      </c>
      <c r="Z45" s="111">
        <v>323382</v>
      </c>
      <c r="AA45" s="111">
        <v>189664</v>
      </c>
      <c r="AB45" s="111"/>
      <c r="AC45" s="111">
        <v>219921</v>
      </c>
      <c r="AD45" s="111">
        <v>219011</v>
      </c>
      <c r="AE45" s="111">
        <v>293100</v>
      </c>
      <c r="AF45" s="111">
        <v>237356</v>
      </c>
      <c r="AG45" s="111">
        <v>210325</v>
      </c>
      <c r="AI45" s="111">
        <v>302895</v>
      </c>
      <c r="AJ45" s="111">
        <v>265683</v>
      </c>
      <c r="AK45" s="111">
        <v>350583</v>
      </c>
      <c r="AL45" s="111">
        <v>242697</v>
      </c>
      <c r="AM45" s="111"/>
      <c r="AN45" s="111">
        <v>356331</v>
      </c>
      <c r="AO45" s="111">
        <v>259411</v>
      </c>
      <c r="AP45" s="111">
        <v>307791</v>
      </c>
      <c r="AQ45" s="118">
        <v>183414</v>
      </c>
      <c r="AR45" s="206"/>
      <c r="AS45" s="118">
        <v>270220</v>
      </c>
      <c r="AT45" s="118">
        <v>303929</v>
      </c>
      <c r="AU45" s="118">
        <v>381322</v>
      </c>
      <c r="AV45" s="118">
        <v>171501</v>
      </c>
      <c r="AW45" s="206"/>
      <c r="AX45" s="118">
        <v>258481</v>
      </c>
      <c r="AY45" s="118">
        <v>354443</v>
      </c>
      <c r="AZ45" s="111">
        <v>399197</v>
      </c>
      <c r="BA45" s="111">
        <v>233247</v>
      </c>
      <c r="BB45" s="206"/>
      <c r="BC45" s="111">
        <v>271018</v>
      </c>
      <c r="BD45" s="111">
        <v>223325</v>
      </c>
      <c r="BE45" s="111">
        <v>295821</v>
      </c>
      <c r="BF45" s="111">
        <v>125450</v>
      </c>
    </row>
    <row r="46" spans="1:58" ht="16.5" customHeight="1">
      <c r="B46" s="12" t="s">
        <v>191</v>
      </c>
      <c r="C46" s="29">
        <f>95859+36201</f>
        <v>132060</v>
      </c>
      <c r="D46" s="29"/>
      <c r="E46" s="29">
        <f>96045+25332</f>
        <v>121377</v>
      </c>
      <c r="F46" s="29">
        <f>72053+35278</f>
        <v>107331</v>
      </c>
      <c r="G46" s="29">
        <f>108534+37993</f>
        <v>146527</v>
      </c>
      <c r="H46" s="29">
        <f>102639+32809</f>
        <v>135448</v>
      </c>
      <c r="J46" s="29">
        <f>122878+22768</f>
        <v>145646</v>
      </c>
      <c r="K46" s="29">
        <f>99740+22968</f>
        <v>122708</v>
      </c>
      <c r="L46" s="29">
        <f>164914+30356</f>
        <v>195270</v>
      </c>
      <c r="M46" s="29">
        <f>151948+32714</f>
        <v>184662</v>
      </c>
      <c r="N46" s="29">
        <v>190722</v>
      </c>
      <c r="P46" s="111">
        <f>152228+32030</f>
        <v>184258</v>
      </c>
      <c r="Q46" s="111">
        <f>152228+32030</f>
        <v>184258</v>
      </c>
      <c r="R46" s="111">
        <f>118505+23123</f>
        <v>141628</v>
      </c>
      <c r="S46" s="111">
        <f>118505+23123</f>
        <v>141628</v>
      </c>
      <c r="T46" s="111">
        <f>154576+21612</f>
        <v>176188</v>
      </c>
      <c r="U46" s="111">
        <f>154576+21612</f>
        <v>176188</v>
      </c>
      <c r="V46" s="111">
        <v>202657</v>
      </c>
      <c r="X46" s="111">
        <v>212707</v>
      </c>
      <c r="Y46" s="111">
        <v>168478</v>
      </c>
      <c r="Z46" s="111">
        <v>166675</v>
      </c>
      <c r="AA46" s="111">
        <v>210547</v>
      </c>
      <c r="AB46" s="111"/>
      <c r="AC46" s="111">
        <v>223459</v>
      </c>
      <c r="AD46" s="111">
        <v>193306</v>
      </c>
      <c r="AE46" s="111">
        <v>221824</v>
      </c>
      <c r="AF46" s="111">
        <v>241141</v>
      </c>
      <c r="AG46" s="111">
        <v>241141</v>
      </c>
      <c r="AI46" s="111">
        <v>232511</v>
      </c>
      <c r="AJ46" s="111">
        <v>195683</v>
      </c>
      <c r="AK46" s="111">
        <v>237845</v>
      </c>
      <c r="AL46" s="111">
        <v>250091</v>
      </c>
      <c r="AM46" s="111"/>
      <c r="AN46" s="111">
        <v>239870</v>
      </c>
      <c r="AO46" s="111">
        <v>199601</v>
      </c>
      <c r="AP46" s="111">
        <v>224714</v>
      </c>
      <c r="AQ46" s="118">
        <v>208396</v>
      </c>
      <c r="AR46" s="206"/>
      <c r="AS46" s="118">
        <v>207750</v>
      </c>
      <c r="AT46" s="118">
        <v>210044</v>
      </c>
      <c r="AU46" s="118">
        <v>259292</v>
      </c>
      <c r="AV46" s="118">
        <v>290224</v>
      </c>
      <c r="AW46" s="206"/>
      <c r="AX46" s="118">
        <v>244361</v>
      </c>
      <c r="AY46" s="118">
        <v>221424</v>
      </c>
      <c r="AZ46" s="111">
        <v>282005</v>
      </c>
      <c r="BA46" s="111">
        <v>277951</v>
      </c>
      <c r="BB46" s="206"/>
      <c r="BC46" s="111">
        <v>292610</v>
      </c>
      <c r="BD46" s="111">
        <v>272166</v>
      </c>
      <c r="BE46" s="111">
        <v>369142</v>
      </c>
      <c r="BF46" s="111">
        <v>373964</v>
      </c>
    </row>
    <row r="47" spans="1:58">
      <c r="B47" s="12" t="s">
        <v>133</v>
      </c>
      <c r="C47" s="29">
        <v>0</v>
      </c>
      <c r="D47" s="29"/>
      <c r="E47" s="29">
        <v>0</v>
      </c>
      <c r="F47" s="29">
        <v>0</v>
      </c>
      <c r="G47" s="29">
        <v>0</v>
      </c>
      <c r="H47" s="29">
        <v>0</v>
      </c>
      <c r="J47" s="29">
        <v>0</v>
      </c>
      <c r="K47" s="29">
        <v>0</v>
      </c>
      <c r="L47" s="29">
        <v>0</v>
      </c>
      <c r="M47" s="29">
        <v>0</v>
      </c>
      <c r="N47" s="111">
        <v>0</v>
      </c>
      <c r="P47" s="29">
        <v>0</v>
      </c>
      <c r="Q47" s="29">
        <v>0</v>
      </c>
      <c r="R47" s="29">
        <v>0</v>
      </c>
      <c r="S47" s="29">
        <v>0</v>
      </c>
      <c r="T47" s="29">
        <v>0</v>
      </c>
      <c r="U47" s="29">
        <v>0</v>
      </c>
      <c r="V47" s="29">
        <v>0</v>
      </c>
      <c r="X47" s="29">
        <v>0</v>
      </c>
      <c r="Y47" s="29">
        <v>0</v>
      </c>
      <c r="Z47" s="29">
        <v>0</v>
      </c>
      <c r="AA47" s="29">
        <v>0</v>
      </c>
      <c r="AB47" s="29"/>
      <c r="AC47" s="29">
        <v>0</v>
      </c>
      <c r="AD47" s="29">
        <v>0</v>
      </c>
      <c r="AE47" s="29">
        <v>0</v>
      </c>
      <c r="AF47" s="29">
        <v>0</v>
      </c>
      <c r="AG47" s="29">
        <v>0</v>
      </c>
      <c r="AI47" s="29">
        <v>0</v>
      </c>
      <c r="AJ47" s="29">
        <v>0</v>
      </c>
      <c r="AK47" s="29">
        <v>0</v>
      </c>
      <c r="AL47" s="29">
        <v>0</v>
      </c>
      <c r="AM47" s="29"/>
      <c r="AN47" s="29">
        <v>0</v>
      </c>
      <c r="AO47" s="29">
        <v>0</v>
      </c>
      <c r="AP47" s="29">
        <v>0</v>
      </c>
      <c r="AQ47" s="153">
        <v>0</v>
      </c>
      <c r="AR47" s="206"/>
      <c r="AS47" s="153">
        <v>0</v>
      </c>
      <c r="AT47" s="153">
        <v>0</v>
      </c>
      <c r="AU47" s="153">
        <v>0</v>
      </c>
      <c r="AV47" s="153">
        <v>0</v>
      </c>
      <c r="AW47" s="206"/>
      <c r="AX47" s="153">
        <v>0</v>
      </c>
      <c r="AY47" s="153">
        <v>0</v>
      </c>
      <c r="AZ47" s="29">
        <v>0</v>
      </c>
      <c r="BA47" s="29">
        <v>0</v>
      </c>
      <c r="BB47" s="206"/>
      <c r="BC47" s="29">
        <v>0</v>
      </c>
      <c r="BD47" s="29">
        <v>0</v>
      </c>
      <c r="BE47" s="29">
        <v>0</v>
      </c>
      <c r="BF47" s="29">
        <v>0</v>
      </c>
    </row>
    <row r="48" spans="1:58">
      <c r="B48" s="12" t="s">
        <v>187</v>
      </c>
      <c r="C48" s="29">
        <v>0</v>
      </c>
      <c r="D48" s="29"/>
      <c r="E48" s="29">
        <v>0</v>
      </c>
      <c r="F48" s="29">
        <v>0</v>
      </c>
      <c r="G48" s="29">
        <v>0</v>
      </c>
      <c r="H48" s="29">
        <v>0</v>
      </c>
      <c r="J48" s="29">
        <v>0</v>
      </c>
      <c r="K48" s="29">
        <v>0</v>
      </c>
      <c r="L48" s="29">
        <v>0</v>
      </c>
      <c r="M48" s="29">
        <v>0</v>
      </c>
      <c r="N48" s="29">
        <v>0</v>
      </c>
      <c r="P48" s="29">
        <v>0</v>
      </c>
      <c r="Q48" s="29">
        <v>0</v>
      </c>
      <c r="R48" s="29">
        <v>0</v>
      </c>
      <c r="S48" s="29">
        <v>0</v>
      </c>
      <c r="T48" s="29">
        <v>0</v>
      </c>
      <c r="U48" s="29">
        <v>0</v>
      </c>
      <c r="V48" s="29">
        <v>0</v>
      </c>
      <c r="X48" s="29">
        <v>0</v>
      </c>
      <c r="Y48" s="29">
        <v>0</v>
      </c>
      <c r="Z48" s="29">
        <v>0</v>
      </c>
      <c r="AA48" s="29">
        <v>0</v>
      </c>
      <c r="AB48" s="29"/>
      <c r="AC48" s="29">
        <v>0</v>
      </c>
      <c r="AD48" s="29">
        <v>0</v>
      </c>
      <c r="AE48" s="29">
        <v>0</v>
      </c>
      <c r="AF48" s="29">
        <v>0</v>
      </c>
      <c r="AG48" s="29">
        <v>0</v>
      </c>
      <c r="AI48" s="29">
        <v>0</v>
      </c>
      <c r="AJ48" s="29">
        <v>0</v>
      </c>
      <c r="AK48" s="29">
        <v>0</v>
      </c>
      <c r="AL48" s="29">
        <v>0</v>
      </c>
      <c r="AM48" s="29"/>
      <c r="AN48" s="29">
        <v>0</v>
      </c>
      <c r="AO48" s="29">
        <v>0</v>
      </c>
      <c r="AP48" s="29">
        <v>0</v>
      </c>
      <c r="AQ48" s="153">
        <v>0</v>
      </c>
      <c r="AR48" s="206"/>
      <c r="AS48" s="153">
        <v>0</v>
      </c>
      <c r="AT48" s="153">
        <v>0</v>
      </c>
      <c r="AU48" s="153">
        <v>0</v>
      </c>
      <c r="AV48" s="153">
        <v>0</v>
      </c>
      <c r="AW48" s="206"/>
      <c r="AX48" s="153">
        <v>0</v>
      </c>
      <c r="AY48" s="153">
        <v>0</v>
      </c>
      <c r="AZ48" s="29">
        <v>0</v>
      </c>
      <c r="BA48" s="29">
        <v>0</v>
      </c>
      <c r="BB48" s="206"/>
      <c r="BC48" s="29">
        <v>0</v>
      </c>
      <c r="BD48" s="29">
        <v>0</v>
      </c>
      <c r="BE48" s="29">
        <v>0</v>
      </c>
      <c r="BF48" s="29">
        <v>0</v>
      </c>
    </row>
    <row r="49" spans="1:58">
      <c r="B49" s="12" t="s">
        <v>276</v>
      </c>
      <c r="C49" s="29">
        <v>0</v>
      </c>
      <c r="D49" s="29"/>
      <c r="E49" s="29">
        <v>0</v>
      </c>
      <c r="F49" s="29">
        <v>0</v>
      </c>
      <c r="G49" s="29">
        <v>0</v>
      </c>
      <c r="H49" s="29">
        <v>0</v>
      </c>
      <c r="J49" s="29">
        <v>0</v>
      </c>
      <c r="K49" s="29">
        <v>0</v>
      </c>
      <c r="L49" s="29">
        <v>0</v>
      </c>
      <c r="M49" s="29">
        <v>0</v>
      </c>
      <c r="N49" s="29">
        <v>0</v>
      </c>
      <c r="P49" s="29">
        <v>0</v>
      </c>
      <c r="Q49" s="29">
        <v>0</v>
      </c>
      <c r="R49" s="29">
        <v>0</v>
      </c>
      <c r="S49" s="29">
        <v>0</v>
      </c>
      <c r="T49" s="29">
        <v>0</v>
      </c>
      <c r="U49" s="29">
        <v>0</v>
      </c>
      <c r="V49" s="29">
        <v>0</v>
      </c>
      <c r="X49" s="29">
        <v>0</v>
      </c>
      <c r="Y49" s="29">
        <v>0</v>
      </c>
      <c r="Z49" s="29">
        <v>0</v>
      </c>
      <c r="AA49" s="29">
        <v>0</v>
      </c>
      <c r="AB49" s="29"/>
      <c r="AC49" s="29">
        <v>0</v>
      </c>
      <c r="AD49" s="29">
        <v>0</v>
      </c>
      <c r="AE49" s="29">
        <v>0</v>
      </c>
      <c r="AF49" s="29">
        <v>0</v>
      </c>
      <c r="AG49" s="29">
        <v>0</v>
      </c>
      <c r="AI49" s="29">
        <v>0</v>
      </c>
      <c r="AJ49" s="29">
        <v>0</v>
      </c>
      <c r="AK49" s="29">
        <v>21390</v>
      </c>
      <c r="AL49" s="29">
        <v>16030</v>
      </c>
      <c r="AM49" s="29"/>
      <c r="AN49" s="29">
        <v>27417</v>
      </c>
      <c r="AO49" s="29">
        <v>70</v>
      </c>
      <c r="AP49" s="29">
        <v>1406</v>
      </c>
      <c r="AQ49" s="153">
        <v>3811</v>
      </c>
      <c r="AR49" s="206"/>
      <c r="AS49" s="153">
        <v>3270</v>
      </c>
      <c r="AT49" s="153">
        <v>4734</v>
      </c>
      <c r="AU49" s="153">
        <v>3795</v>
      </c>
      <c r="AV49" s="153">
        <v>0</v>
      </c>
      <c r="AW49" s="206"/>
      <c r="AX49" s="153">
        <v>0</v>
      </c>
      <c r="AY49" s="153">
        <v>0</v>
      </c>
      <c r="AZ49" s="29">
        <v>0</v>
      </c>
      <c r="BA49" s="29">
        <v>85018</v>
      </c>
      <c r="BB49" s="206"/>
      <c r="BC49" s="29">
        <v>94435</v>
      </c>
      <c r="BD49" s="29">
        <v>96360</v>
      </c>
      <c r="BE49" s="29">
        <v>97407</v>
      </c>
      <c r="BF49" s="29">
        <v>88266</v>
      </c>
    </row>
    <row r="50" spans="1:58" ht="16.5" customHeight="1">
      <c r="B50" s="12" t="s">
        <v>275</v>
      </c>
      <c r="C50" s="29">
        <v>129949</v>
      </c>
      <c r="D50" s="29"/>
      <c r="E50" s="29">
        <v>174259</v>
      </c>
      <c r="F50" s="29">
        <v>83180</v>
      </c>
      <c r="G50" s="29">
        <v>213513</v>
      </c>
      <c r="H50" s="29">
        <v>158889</v>
      </c>
      <c r="J50" s="29">
        <f>146472-1</f>
        <v>146471</v>
      </c>
      <c r="K50" s="29">
        <f>177557+6073</f>
        <v>183630</v>
      </c>
      <c r="L50" s="29">
        <v>182460</v>
      </c>
      <c r="M50" s="110">
        <f>455016+1+17209</f>
        <v>472226</v>
      </c>
      <c r="N50" s="110">
        <v>471619</v>
      </c>
      <c r="P50" s="111">
        <v>254615</v>
      </c>
      <c r="Q50" s="111">
        <v>494025</v>
      </c>
      <c r="R50" s="111">
        <v>247564</v>
      </c>
      <c r="S50" s="111">
        <v>450691</v>
      </c>
      <c r="T50" s="111">
        <v>599752</v>
      </c>
      <c r="U50" s="111">
        <v>748558</v>
      </c>
      <c r="V50" s="111">
        <v>480889</v>
      </c>
      <c r="X50" s="111">
        <v>627659</v>
      </c>
      <c r="Y50" s="111">
        <v>599439</v>
      </c>
      <c r="Z50" s="111">
        <v>552475</v>
      </c>
      <c r="AA50" s="111">
        <v>667596</v>
      </c>
      <c r="AB50" s="111"/>
      <c r="AC50" s="111">
        <v>598154</v>
      </c>
      <c r="AD50" s="111">
        <v>614751</v>
      </c>
      <c r="AE50" s="111">
        <v>682352</v>
      </c>
      <c r="AF50" s="111">
        <v>586007</v>
      </c>
      <c r="AG50" s="111">
        <v>484219</v>
      </c>
      <c r="AI50" s="111">
        <v>525293</v>
      </c>
      <c r="AJ50" s="111">
        <v>552717</v>
      </c>
      <c r="AK50" s="111">
        <v>564105</v>
      </c>
      <c r="AL50" s="111">
        <v>460758</v>
      </c>
      <c r="AM50" s="111"/>
      <c r="AN50" s="111">
        <v>397000</v>
      </c>
      <c r="AO50" s="111">
        <v>415898</v>
      </c>
      <c r="AP50" s="111">
        <v>406818</v>
      </c>
      <c r="AQ50" s="118">
        <v>407731</v>
      </c>
      <c r="AR50" s="206"/>
      <c r="AS50" s="118">
        <v>406817</v>
      </c>
      <c r="AT50" s="118">
        <v>433876</v>
      </c>
      <c r="AU50" s="118">
        <v>450001</v>
      </c>
      <c r="AV50" s="118">
        <v>487959</v>
      </c>
      <c r="AW50" s="206"/>
      <c r="AX50" s="118">
        <v>454639</v>
      </c>
      <c r="AY50" s="118">
        <v>510076</v>
      </c>
      <c r="AZ50" s="111">
        <v>535476</v>
      </c>
      <c r="BA50" s="111">
        <v>594852</v>
      </c>
      <c r="BB50" s="206"/>
      <c r="BC50" s="111">
        <v>519246</v>
      </c>
      <c r="BD50" s="111">
        <v>532374</v>
      </c>
      <c r="BE50" s="111">
        <v>522057</v>
      </c>
      <c r="BF50" s="111">
        <v>587961</v>
      </c>
    </row>
    <row r="51" spans="1:58" ht="16.5" customHeight="1">
      <c r="B51" s="12" t="s">
        <v>136</v>
      </c>
      <c r="C51" s="29">
        <v>2491</v>
      </c>
      <c r="D51" s="29"/>
      <c r="E51" s="29">
        <v>7639</v>
      </c>
      <c r="F51" s="29">
        <v>19717</v>
      </c>
      <c r="G51" s="29">
        <v>0</v>
      </c>
      <c r="H51" s="29">
        <v>0</v>
      </c>
      <c r="J51" s="29">
        <v>0</v>
      </c>
      <c r="K51" s="29">
        <v>0</v>
      </c>
      <c r="L51" s="29">
        <v>0</v>
      </c>
      <c r="M51" s="110">
        <v>0</v>
      </c>
      <c r="N51" s="110">
        <v>0</v>
      </c>
      <c r="P51" s="111">
        <v>6841</v>
      </c>
      <c r="Q51" s="111">
        <v>6841</v>
      </c>
      <c r="R51" s="111">
        <v>111</v>
      </c>
      <c r="S51" s="111">
        <v>111</v>
      </c>
      <c r="T51" s="111">
        <v>0</v>
      </c>
      <c r="U51" s="111">
        <v>0</v>
      </c>
      <c r="V51" s="111">
        <v>102555</v>
      </c>
      <c r="X51" s="111">
        <v>77486</v>
      </c>
      <c r="Y51" s="111">
        <v>109876</v>
      </c>
      <c r="Z51" s="111">
        <v>87797</v>
      </c>
      <c r="AA51" s="111">
        <v>3622</v>
      </c>
      <c r="AB51" s="111"/>
      <c r="AC51" s="111">
        <v>17087</v>
      </c>
      <c r="AD51" s="111">
        <v>0</v>
      </c>
      <c r="AE51" s="111">
        <v>1411</v>
      </c>
      <c r="AF51" s="111">
        <v>525</v>
      </c>
      <c r="AG51" s="111">
        <v>525</v>
      </c>
      <c r="AI51" s="111">
        <v>3182</v>
      </c>
      <c r="AJ51" s="111">
        <v>16913</v>
      </c>
      <c r="AK51" s="111">
        <v>2599</v>
      </c>
      <c r="AL51" s="111">
        <v>16353</v>
      </c>
      <c r="AM51" s="111"/>
      <c r="AN51" s="111">
        <v>68383</v>
      </c>
      <c r="AO51" s="111">
        <v>76462</v>
      </c>
      <c r="AP51" s="111">
        <v>34949</v>
      </c>
      <c r="AQ51" s="118">
        <v>65085</v>
      </c>
      <c r="AR51" s="206"/>
      <c r="AS51" s="118">
        <v>1682</v>
      </c>
      <c r="AT51" s="118">
        <v>2105</v>
      </c>
      <c r="AU51" s="118">
        <v>4964</v>
      </c>
      <c r="AV51" s="118">
        <v>2087</v>
      </c>
      <c r="AW51" s="206"/>
      <c r="AX51" s="118">
        <v>12692</v>
      </c>
      <c r="AY51" s="118">
        <v>6929</v>
      </c>
      <c r="AZ51" s="111">
        <v>275</v>
      </c>
      <c r="BA51" s="111">
        <v>22014</v>
      </c>
      <c r="BB51" s="206"/>
      <c r="BC51" s="111">
        <v>36435</v>
      </c>
      <c r="BD51" s="111">
        <v>90195</v>
      </c>
      <c r="BE51" s="111">
        <v>110696</v>
      </c>
      <c r="BF51" s="111">
        <v>226271</v>
      </c>
    </row>
    <row r="52" spans="1:58">
      <c r="A52" s="14"/>
      <c r="B52" s="12" t="s">
        <v>85</v>
      </c>
      <c r="C52" s="29">
        <v>8935</v>
      </c>
      <c r="D52" s="29"/>
      <c r="E52" s="29">
        <v>0</v>
      </c>
      <c r="F52" s="29">
        <v>0</v>
      </c>
      <c r="G52" s="29">
        <v>0</v>
      </c>
      <c r="H52" s="29">
        <v>856</v>
      </c>
      <c r="J52" s="29">
        <v>0</v>
      </c>
      <c r="K52" s="29">
        <v>29704</v>
      </c>
      <c r="L52" s="29">
        <v>0</v>
      </c>
      <c r="M52" s="110">
        <v>856</v>
      </c>
      <c r="N52" s="110">
        <v>856</v>
      </c>
      <c r="P52" s="111">
        <v>856</v>
      </c>
      <c r="Q52" s="111">
        <v>856</v>
      </c>
      <c r="R52" s="111">
        <v>856</v>
      </c>
      <c r="S52" s="111">
        <v>856</v>
      </c>
      <c r="T52" s="111">
        <v>824</v>
      </c>
      <c r="U52" s="111">
        <v>824</v>
      </c>
      <c r="V52" s="111">
        <v>191699</v>
      </c>
      <c r="X52" s="111">
        <v>187469</v>
      </c>
      <c r="Y52" s="111">
        <v>824</v>
      </c>
      <c r="Z52" s="111">
        <v>824</v>
      </c>
      <c r="AA52" s="111">
        <v>824</v>
      </c>
      <c r="AB52" s="111"/>
      <c r="AC52" s="111">
        <v>824</v>
      </c>
      <c r="AD52" s="111">
        <v>824</v>
      </c>
      <c r="AE52" s="111">
        <v>824</v>
      </c>
      <c r="AF52" s="111">
        <v>0</v>
      </c>
      <c r="AG52" s="111">
        <v>0</v>
      </c>
      <c r="AI52" s="111">
        <v>0</v>
      </c>
      <c r="AJ52" s="111">
        <v>0</v>
      </c>
      <c r="AK52" s="111">
        <v>0</v>
      </c>
      <c r="AL52" s="111">
        <v>0</v>
      </c>
      <c r="AM52" s="111"/>
      <c r="AN52" s="111">
        <v>0</v>
      </c>
      <c r="AO52" s="111">
        <v>0</v>
      </c>
      <c r="AP52" s="111">
        <v>0</v>
      </c>
      <c r="AQ52" s="118">
        <v>455564</v>
      </c>
      <c r="AR52" s="206"/>
      <c r="AS52" s="118">
        <v>500662</v>
      </c>
      <c r="AT52" s="118">
        <v>443973</v>
      </c>
      <c r="AU52" s="118">
        <v>345051</v>
      </c>
      <c r="AV52" s="118">
        <v>7772</v>
      </c>
      <c r="AW52" s="206"/>
      <c r="AX52" s="118">
        <v>3695</v>
      </c>
      <c r="AY52" s="118">
        <v>3589</v>
      </c>
      <c r="AZ52" s="111">
        <v>2326699</v>
      </c>
      <c r="BA52" s="111">
        <v>3509787</v>
      </c>
      <c r="BB52" s="206"/>
      <c r="BC52" s="111">
        <v>3383599</v>
      </c>
      <c r="BD52" s="111">
        <v>819200</v>
      </c>
      <c r="BE52" s="111">
        <v>792078</v>
      </c>
      <c r="BF52" s="111">
        <v>628</v>
      </c>
    </row>
    <row r="53" spans="1:58" ht="3.75" customHeight="1">
      <c r="B53" s="12"/>
      <c r="C53" s="22"/>
      <c r="D53" s="22"/>
      <c r="E53" s="22"/>
      <c r="F53" s="22"/>
      <c r="G53" s="22"/>
      <c r="H53" s="22"/>
      <c r="J53" s="22"/>
      <c r="K53" s="22"/>
      <c r="L53" s="22"/>
      <c r="M53" s="22"/>
      <c r="N53" s="22"/>
      <c r="P53" s="22"/>
      <c r="Q53" s="22"/>
      <c r="R53" s="22"/>
      <c r="S53" s="22"/>
      <c r="T53" s="22"/>
      <c r="U53" s="22"/>
      <c r="V53" s="22"/>
      <c r="X53" s="22"/>
      <c r="Y53" s="22"/>
      <c r="Z53" s="22"/>
      <c r="AA53" s="22"/>
      <c r="AB53" s="22"/>
      <c r="AC53" s="22"/>
      <c r="AD53" s="22"/>
      <c r="AE53" s="22"/>
      <c r="AF53" s="22"/>
      <c r="AG53" s="22"/>
      <c r="AI53" s="22"/>
      <c r="AJ53" s="22"/>
      <c r="AK53" s="22"/>
      <c r="AL53" s="22"/>
      <c r="AM53" s="22"/>
      <c r="AN53" s="22"/>
      <c r="AO53" s="22"/>
      <c r="AP53" s="22"/>
      <c r="AQ53" s="22"/>
      <c r="AR53" s="206"/>
      <c r="AS53" s="22"/>
      <c r="AT53" s="22"/>
      <c r="AU53" s="22"/>
      <c r="AV53" s="22"/>
      <c r="AW53" s="206"/>
      <c r="AX53" s="22"/>
      <c r="AY53" s="22"/>
      <c r="BA53" s="22"/>
      <c r="BB53" s="206"/>
      <c r="BC53" s="22"/>
      <c r="BD53" s="22"/>
      <c r="BE53" s="22"/>
      <c r="BF53" s="22"/>
    </row>
    <row r="54" spans="1:58" ht="16.5" customHeight="1">
      <c r="B54" s="24" t="s">
        <v>56</v>
      </c>
      <c r="C54" s="25">
        <f>+SUM(C40:C52)</f>
        <v>2752154</v>
      </c>
      <c r="D54" s="25"/>
      <c r="E54" s="25">
        <f>+SUM(E40:E52)</f>
        <v>3650657</v>
      </c>
      <c r="F54" s="25">
        <f>+SUM(F40:F52)</f>
        <v>5544881</v>
      </c>
      <c r="G54" s="25">
        <f>+SUM(G40:G52)</f>
        <v>4221435</v>
      </c>
      <c r="H54" s="25">
        <f>+SUM(H40:H52)</f>
        <v>4053956</v>
      </c>
      <c r="J54" s="25">
        <f>+SUM(J40:J52)</f>
        <v>4861269</v>
      </c>
      <c r="K54" s="25">
        <f>+SUM(K40:K52)</f>
        <v>4764447</v>
      </c>
      <c r="L54" s="25">
        <f>+SUM(L40:L52)</f>
        <v>6122162</v>
      </c>
      <c r="M54" s="25">
        <f>+SUM(M40:M52)</f>
        <v>6989265</v>
      </c>
      <c r="N54" s="25">
        <f>+SUM(N40:N52)</f>
        <v>6710834</v>
      </c>
      <c r="P54" s="25">
        <f t="shared" ref="P54:V54" si="13">+SUM(P40:P52)</f>
        <v>7359893</v>
      </c>
      <c r="Q54" s="25">
        <f t="shared" si="13"/>
        <v>7369166</v>
      </c>
      <c r="R54" s="25">
        <f t="shared" si="13"/>
        <v>6542714</v>
      </c>
      <c r="S54" s="25">
        <f t="shared" si="13"/>
        <v>6545816</v>
      </c>
      <c r="T54" s="25">
        <f t="shared" si="13"/>
        <v>6623481</v>
      </c>
      <c r="U54" s="25">
        <f t="shared" si="13"/>
        <v>6615547</v>
      </c>
      <c r="V54" s="25">
        <f t="shared" si="13"/>
        <v>7211119</v>
      </c>
      <c r="X54" s="25">
        <f>+SUM(X40:X52)</f>
        <v>9831420</v>
      </c>
      <c r="Y54" s="25">
        <f>+SUM(Y40:Y52)</f>
        <v>8519592</v>
      </c>
      <c r="Z54" s="25">
        <f>+SUM(Z40:Z52)</f>
        <v>8567621</v>
      </c>
      <c r="AA54" s="25">
        <f>+SUM(AA40:AA52)</f>
        <v>7107746</v>
      </c>
      <c r="AB54" s="25"/>
      <c r="AC54" s="25">
        <f>+SUM(AC40:AC52)</f>
        <v>7567713</v>
      </c>
      <c r="AD54" s="25">
        <f>+SUM(AD40:AD52)</f>
        <v>7535825</v>
      </c>
      <c r="AE54" s="25">
        <f>+SUM(AE40:AE52)</f>
        <v>7648405</v>
      </c>
      <c r="AF54" s="25">
        <f>+SUM(AF40:AF52)</f>
        <v>7029847</v>
      </c>
      <c r="AG54" s="25">
        <f>+SUM(AG40:AG52)</f>
        <v>7002816</v>
      </c>
      <c r="AI54" s="25">
        <v>8091316</v>
      </c>
      <c r="AJ54" s="25">
        <v>8357615</v>
      </c>
      <c r="AK54" s="25">
        <v>7836498</v>
      </c>
      <c r="AL54" s="25">
        <v>6760718</v>
      </c>
      <c r="AM54" s="25"/>
      <c r="AN54" s="25">
        <v>8426262</v>
      </c>
      <c r="AO54" s="25">
        <v>8355283</v>
      </c>
      <c r="AP54" s="25">
        <v>7283963</v>
      </c>
      <c r="AQ54" s="25">
        <f>+SUM(AQ40:AQ52)</f>
        <v>6624149</v>
      </c>
      <c r="AR54" s="206"/>
      <c r="AS54" s="25">
        <f>+SUM(AS40:AS52)</f>
        <v>7423381</v>
      </c>
      <c r="AT54" s="25">
        <f>+SUM(AT40:AT52)</f>
        <v>7963089</v>
      </c>
      <c r="AU54" s="25">
        <f>+SUM(AU40:AU52)</f>
        <v>8127203</v>
      </c>
      <c r="AV54" s="25">
        <f>+SUM(AV40:AV52)</f>
        <v>7764963</v>
      </c>
      <c r="AW54" s="206"/>
      <c r="AX54" s="25">
        <f>+SUM(AX40:AX52)</f>
        <v>7970136</v>
      </c>
      <c r="AY54" s="25">
        <f>+SUM(AY40:AY52)</f>
        <v>7840603</v>
      </c>
      <c r="AZ54" s="25">
        <v>9904391</v>
      </c>
      <c r="BA54" s="25">
        <f>+SUM(BA40:BA52)</f>
        <v>10321532</v>
      </c>
      <c r="BB54" s="206"/>
      <c r="BC54" s="25">
        <v>10713766</v>
      </c>
      <c r="BD54" s="25">
        <v>7956845</v>
      </c>
      <c r="BE54" s="25">
        <v>9152000</v>
      </c>
      <c r="BF54" s="25">
        <v>8321710</v>
      </c>
    </row>
    <row r="55" spans="1:58" ht="6" customHeight="1">
      <c r="E55" s="11"/>
      <c r="F55" s="11"/>
      <c r="G55" s="11"/>
      <c r="H55" s="11"/>
      <c r="J55" s="11"/>
      <c r="AR55" s="206"/>
      <c r="AW55" s="206"/>
      <c r="BB55" s="206"/>
    </row>
    <row r="56" spans="1:58" ht="16.5" customHeight="1">
      <c r="B56" s="15" t="s">
        <v>33</v>
      </c>
      <c r="C56" s="29">
        <f>1241276-12435</f>
        <v>1228841</v>
      </c>
      <c r="D56" s="29"/>
      <c r="E56" s="29">
        <v>2496972</v>
      </c>
      <c r="F56" s="29">
        <v>1018043</v>
      </c>
      <c r="G56" s="29">
        <v>1849511</v>
      </c>
      <c r="H56" s="29">
        <v>3077275</v>
      </c>
      <c r="J56" s="29">
        <v>3006056</v>
      </c>
      <c r="K56" s="29">
        <v>3639057</v>
      </c>
      <c r="L56" s="29">
        <v>4448887</v>
      </c>
      <c r="M56" s="110">
        <v>4948257</v>
      </c>
      <c r="N56" s="110">
        <v>4988915</v>
      </c>
      <c r="P56" s="111">
        <v>4936358</v>
      </c>
      <c r="Q56" s="111">
        <v>4936358</v>
      </c>
      <c r="R56" s="111">
        <v>5400254</v>
      </c>
      <c r="S56" s="111">
        <v>5400254</v>
      </c>
      <c r="T56" s="111">
        <v>5441004</v>
      </c>
      <c r="U56" s="111">
        <v>5441004</v>
      </c>
      <c r="V56" s="111">
        <v>6363559</v>
      </c>
      <c r="X56" s="111">
        <v>6321449</v>
      </c>
      <c r="Y56" s="111">
        <v>6818252</v>
      </c>
      <c r="Z56" s="111">
        <v>6157358</v>
      </c>
      <c r="AA56" s="111">
        <v>6499405</v>
      </c>
      <c r="AB56" s="111"/>
      <c r="AC56" s="111">
        <v>5184746</v>
      </c>
      <c r="AD56" s="111">
        <v>5433415</v>
      </c>
      <c r="AE56" s="111">
        <v>5024092</v>
      </c>
      <c r="AF56" s="111">
        <v>6364008</v>
      </c>
      <c r="AG56" s="111">
        <v>6364008</v>
      </c>
      <c r="AI56" s="111">
        <v>5703023</v>
      </c>
      <c r="AJ56" s="111">
        <v>6378664</v>
      </c>
      <c r="AK56" s="111">
        <v>6324286</v>
      </c>
      <c r="AL56" s="111">
        <v>5118140</v>
      </c>
      <c r="AM56" s="111"/>
      <c r="AN56" s="111">
        <v>6194339</v>
      </c>
      <c r="AO56" s="111">
        <v>5850656</v>
      </c>
      <c r="AP56" s="111">
        <v>6355092</v>
      </c>
      <c r="AQ56" s="118">
        <v>5386230</v>
      </c>
      <c r="AR56" s="206"/>
      <c r="AS56" s="118">
        <v>6009848</v>
      </c>
      <c r="AT56" s="118">
        <v>5243168</v>
      </c>
      <c r="AU56" s="118">
        <v>4558203</v>
      </c>
      <c r="AV56" s="118">
        <v>4038878</v>
      </c>
      <c r="AW56" s="206"/>
      <c r="AX56" s="118">
        <v>4101351</v>
      </c>
      <c r="AY56" s="118">
        <v>4241497</v>
      </c>
      <c r="AZ56" s="111">
        <v>4226548</v>
      </c>
      <c r="BA56" s="111">
        <v>6080834</v>
      </c>
      <c r="BB56" s="206"/>
      <c r="BC56" s="111">
        <v>6178496</v>
      </c>
      <c r="BD56" s="111">
        <v>5726197</v>
      </c>
      <c r="BE56" s="111">
        <v>5316034</v>
      </c>
      <c r="BF56" s="111">
        <v>4824620</v>
      </c>
    </row>
    <row r="57" spans="1:58" ht="16.5" customHeight="1">
      <c r="B57" s="15" t="s">
        <v>252</v>
      </c>
      <c r="C57" s="29">
        <v>0</v>
      </c>
      <c r="D57" s="29"/>
      <c r="E57" s="29">
        <v>0</v>
      </c>
      <c r="F57" s="29">
        <v>0</v>
      </c>
      <c r="G57" s="29">
        <v>0</v>
      </c>
      <c r="H57" s="29">
        <v>0</v>
      </c>
      <c r="J57" s="29">
        <v>0</v>
      </c>
      <c r="K57" s="29">
        <v>0</v>
      </c>
      <c r="L57" s="29">
        <v>0</v>
      </c>
      <c r="M57" s="110">
        <v>0</v>
      </c>
      <c r="N57" s="110">
        <v>0</v>
      </c>
      <c r="P57" s="111">
        <v>0</v>
      </c>
      <c r="Q57" s="111">
        <v>0</v>
      </c>
      <c r="R57" s="111">
        <v>0</v>
      </c>
      <c r="S57" s="111">
        <v>0</v>
      </c>
      <c r="T57" s="111">
        <v>0</v>
      </c>
      <c r="U57" s="111">
        <v>0</v>
      </c>
      <c r="V57" s="111">
        <v>0</v>
      </c>
      <c r="X57" s="111">
        <v>0</v>
      </c>
      <c r="Y57" s="111">
        <v>0</v>
      </c>
      <c r="Z57" s="111">
        <v>0</v>
      </c>
      <c r="AA57" s="111">
        <v>0</v>
      </c>
      <c r="AB57" s="111"/>
      <c r="AC57" s="111">
        <v>0</v>
      </c>
      <c r="AD57" s="111">
        <v>0</v>
      </c>
      <c r="AE57" s="111">
        <v>0</v>
      </c>
      <c r="AF57" s="111">
        <v>0</v>
      </c>
      <c r="AG57" s="111">
        <v>0</v>
      </c>
      <c r="AI57" s="111">
        <v>828387</v>
      </c>
      <c r="AJ57" s="111">
        <v>926941</v>
      </c>
      <c r="AK57" s="111">
        <v>1001425</v>
      </c>
      <c r="AL57" s="111">
        <v>898276</v>
      </c>
      <c r="AM57" s="111"/>
      <c r="AN57" s="111">
        <v>876976</v>
      </c>
      <c r="AO57" s="111">
        <v>787680</v>
      </c>
      <c r="AP57" s="111">
        <v>766759</v>
      </c>
      <c r="AQ57" s="118">
        <v>685001</v>
      </c>
      <c r="AR57" s="206"/>
      <c r="AS57" s="118">
        <v>628722</v>
      </c>
      <c r="AT57" s="118">
        <v>610798</v>
      </c>
      <c r="AU57" s="118">
        <v>613808</v>
      </c>
      <c r="AV57" s="118">
        <v>628449</v>
      </c>
      <c r="AW57" s="206"/>
      <c r="AX57" s="118">
        <v>598024</v>
      </c>
      <c r="AY57" s="118">
        <v>617251</v>
      </c>
      <c r="AZ57" s="111">
        <v>619670</v>
      </c>
      <c r="BA57" s="111">
        <v>615979</v>
      </c>
      <c r="BB57" s="206"/>
      <c r="BC57" s="111">
        <v>588848</v>
      </c>
      <c r="BD57" s="111">
        <v>532067</v>
      </c>
      <c r="BE57" s="111">
        <v>538366</v>
      </c>
      <c r="BF57" s="111">
        <v>470032</v>
      </c>
    </row>
    <row r="58" spans="1:58" ht="14.25" customHeight="1">
      <c r="A58" s="14"/>
      <c r="B58" s="12" t="s">
        <v>39</v>
      </c>
      <c r="C58" s="29">
        <f>3064844+106565</f>
        <v>3171409</v>
      </c>
      <c r="D58" s="29"/>
      <c r="E58" s="29">
        <v>3043567</v>
      </c>
      <c r="F58" s="29">
        <v>2912822</v>
      </c>
      <c r="G58" s="29">
        <v>3927231</v>
      </c>
      <c r="H58" s="29">
        <f>4591700+67096</f>
        <v>4658796</v>
      </c>
      <c r="J58" s="29">
        <v>4647095</v>
      </c>
      <c r="K58" s="29">
        <v>4497762</v>
      </c>
      <c r="L58" s="29">
        <v>4623075</v>
      </c>
      <c r="M58" s="29">
        <f>4372169+46944</f>
        <v>4419113</v>
      </c>
      <c r="N58" s="110">
        <v>4590566</v>
      </c>
      <c r="P58" s="111">
        <v>4440335</v>
      </c>
      <c r="Q58" s="111">
        <v>4440335</v>
      </c>
      <c r="R58" s="111">
        <v>5002149</v>
      </c>
      <c r="S58" s="111">
        <v>5002149</v>
      </c>
      <c r="T58" s="111">
        <v>4845056</v>
      </c>
      <c r="U58" s="111">
        <v>4845056</v>
      </c>
      <c r="V58" s="111">
        <v>4644438</v>
      </c>
      <c r="X58" s="111">
        <v>4602924</v>
      </c>
      <c r="Y58" s="111">
        <v>5533341</v>
      </c>
      <c r="Z58" s="111">
        <v>5462254</v>
      </c>
      <c r="AA58" s="111">
        <v>6653888</v>
      </c>
      <c r="AB58" s="111"/>
      <c r="AC58" s="111">
        <v>6526872</v>
      </c>
      <c r="AD58" s="111">
        <v>6995045</v>
      </c>
      <c r="AE58" s="111">
        <v>7074488</v>
      </c>
      <c r="AF58" s="111">
        <v>6854570</v>
      </c>
      <c r="AG58" s="111">
        <v>6854570</v>
      </c>
      <c r="AI58" s="111">
        <v>6794222</v>
      </c>
      <c r="AJ58" s="111">
        <v>7595221</v>
      </c>
      <c r="AK58" s="111">
        <v>8129311</v>
      </c>
      <c r="AL58" s="111">
        <v>8838335</v>
      </c>
      <c r="AM58" s="111"/>
      <c r="AN58" s="111">
        <v>9384274</v>
      </c>
      <c r="AO58" s="111">
        <v>8958167</v>
      </c>
      <c r="AP58" s="111">
        <v>9011711</v>
      </c>
      <c r="AQ58" s="118">
        <v>8974024</v>
      </c>
      <c r="AR58" s="206"/>
      <c r="AS58" s="118">
        <v>9119216</v>
      </c>
      <c r="AT58" s="118">
        <v>8394999</v>
      </c>
      <c r="AU58" s="118">
        <v>9042901</v>
      </c>
      <c r="AV58" s="118">
        <v>8678684</v>
      </c>
      <c r="AW58" s="206"/>
      <c r="AX58" s="118">
        <v>8580049</v>
      </c>
      <c r="AY58" s="118">
        <v>7673209</v>
      </c>
      <c r="AZ58" s="111">
        <v>6783812</v>
      </c>
      <c r="BA58" s="111">
        <v>5784720</v>
      </c>
      <c r="BB58" s="206"/>
      <c r="BC58" s="111">
        <v>6030405</v>
      </c>
      <c r="BD58" s="111">
        <v>5990285</v>
      </c>
      <c r="BE58" s="111">
        <v>5649152</v>
      </c>
      <c r="BF58" s="111">
        <v>5635355</v>
      </c>
    </row>
    <row r="59" spans="1:58" ht="15.75" customHeight="1">
      <c r="B59" s="15" t="s">
        <v>134</v>
      </c>
      <c r="C59" s="30">
        <v>1082682</v>
      </c>
      <c r="D59" s="29"/>
      <c r="E59" s="30">
        <v>937720</v>
      </c>
      <c r="F59" s="30">
        <v>1026571</v>
      </c>
      <c r="G59" s="30">
        <v>1051518</v>
      </c>
      <c r="H59" s="30">
        <v>1233745</v>
      </c>
      <c r="J59" s="30">
        <v>1496677</v>
      </c>
      <c r="K59" s="30">
        <v>1160716</v>
      </c>
      <c r="L59" s="30">
        <v>1422773</v>
      </c>
      <c r="M59" s="30">
        <v>1616905</v>
      </c>
      <c r="N59" s="110">
        <v>1831534</v>
      </c>
      <c r="P59" s="111">
        <v>1608607</v>
      </c>
      <c r="Q59" s="111">
        <v>1809850</v>
      </c>
      <c r="R59" s="111">
        <v>1475083</v>
      </c>
      <c r="S59" s="111">
        <v>1666161</v>
      </c>
      <c r="T59" s="111">
        <v>1617068</v>
      </c>
      <c r="U59" s="111">
        <v>1621409</v>
      </c>
      <c r="V59" s="111">
        <v>1580512</v>
      </c>
      <c r="X59" s="111">
        <v>1625768</v>
      </c>
      <c r="Y59" s="111">
        <v>1601257</v>
      </c>
      <c r="Z59" s="111">
        <v>1556485</v>
      </c>
      <c r="AA59" s="111">
        <v>1562383</v>
      </c>
      <c r="AB59" s="111"/>
      <c r="AC59" s="111">
        <v>1422382</v>
      </c>
      <c r="AD59" s="111">
        <v>1434427</v>
      </c>
      <c r="AE59" s="111">
        <v>1376875</v>
      </c>
      <c r="AF59" s="111">
        <v>1385211</v>
      </c>
      <c r="AG59" s="111">
        <v>1345771</v>
      </c>
      <c r="AI59" s="111">
        <v>1399099</v>
      </c>
      <c r="AJ59" s="111">
        <v>1349547</v>
      </c>
      <c r="AK59" s="111">
        <v>1255850</v>
      </c>
      <c r="AL59" s="111">
        <v>1211760</v>
      </c>
      <c r="AM59" s="111"/>
      <c r="AN59" s="111">
        <v>1309687</v>
      </c>
      <c r="AO59" s="111">
        <v>1331404</v>
      </c>
      <c r="AP59" s="111">
        <v>1314492</v>
      </c>
      <c r="AQ59" s="118">
        <v>1112850</v>
      </c>
      <c r="AR59" s="206"/>
      <c r="AS59" s="118">
        <v>1084472</v>
      </c>
      <c r="AT59" s="118">
        <v>1170696</v>
      </c>
      <c r="AU59" s="118">
        <v>1304900</v>
      </c>
      <c r="AV59" s="118">
        <v>1283447</v>
      </c>
      <c r="AW59" s="206"/>
      <c r="AX59" s="118">
        <v>1363584</v>
      </c>
      <c r="AY59" s="118">
        <v>1022352</v>
      </c>
      <c r="AZ59" s="111">
        <v>1071979</v>
      </c>
      <c r="BA59" s="111">
        <v>1479769</v>
      </c>
      <c r="BB59" s="206"/>
      <c r="BC59" s="111">
        <v>1524042</v>
      </c>
      <c r="BD59" s="111">
        <v>1609562</v>
      </c>
      <c r="BE59" s="111">
        <v>1648673</v>
      </c>
      <c r="BF59" s="111">
        <v>1657284</v>
      </c>
    </row>
    <row r="60" spans="1:58" ht="15.75" customHeight="1">
      <c r="B60" s="15" t="s">
        <v>132</v>
      </c>
      <c r="C60" s="22">
        <v>297745</v>
      </c>
      <c r="D60" s="22"/>
      <c r="E60" s="22">
        <v>245262</v>
      </c>
      <c r="F60" s="22">
        <v>265142</v>
      </c>
      <c r="G60" s="22">
        <v>264924</v>
      </c>
      <c r="H60" s="22">
        <v>335882</v>
      </c>
      <c r="J60" s="22">
        <v>294713</v>
      </c>
      <c r="K60" s="22">
        <v>289913</v>
      </c>
      <c r="L60" s="22">
        <v>318008</v>
      </c>
      <c r="M60" s="110">
        <v>202401</v>
      </c>
      <c r="N60" s="110">
        <v>211721</v>
      </c>
      <c r="P60" s="111">
        <v>211505</v>
      </c>
      <c r="Q60" s="111">
        <v>177731</v>
      </c>
      <c r="R60" s="111">
        <v>247320</v>
      </c>
      <c r="S60" s="111">
        <v>167362</v>
      </c>
      <c r="T60" s="111">
        <v>253396</v>
      </c>
      <c r="U60" s="111">
        <v>170984</v>
      </c>
      <c r="V60" s="111">
        <v>298565</v>
      </c>
      <c r="X60" s="111">
        <v>205791</v>
      </c>
      <c r="Y60" s="111">
        <v>315731</v>
      </c>
      <c r="Z60" s="111">
        <v>314449</v>
      </c>
      <c r="AA60" s="111">
        <v>304360</v>
      </c>
      <c r="AB60" s="111"/>
      <c r="AC60" s="111">
        <v>287901</v>
      </c>
      <c r="AD60" s="111">
        <v>298871</v>
      </c>
      <c r="AE60" s="111">
        <v>306413</v>
      </c>
      <c r="AF60" s="111">
        <v>306615</v>
      </c>
      <c r="AG60" s="111">
        <v>306615</v>
      </c>
      <c r="AI60" s="111">
        <v>225597</v>
      </c>
      <c r="AJ60" s="111">
        <v>224758</v>
      </c>
      <c r="AK60" s="111">
        <v>249137</v>
      </c>
      <c r="AL60" s="111">
        <v>238392</v>
      </c>
      <c r="AM60" s="111"/>
      <c r="AN60" s="111">
        <v>347920</v>
      </c>
      <c r="AO60" s="111">
        <v>279237</v>
      </c>
      <c r="AP60" s="111">
        <v>292857</v>
      </c>
      <c r="AQ60" s="118">
        <v>236086</v>
      </c>
      <c r="AR60" s="206"/>
      <c r="AS60" s="118">
        <v>265849</v>
      </c>
      <c r="AT60" s="118">
        <v>251233</v>
      </c>
      <c r="AU60" s="118">
        <v>266999</v>
      </c>
      <c r="AV60" s="118">
        <v>232008</v>
      </c>
      <c r="AW60" s="206"/>
      <c r="AX60" s="118">
        <v>203191</v>
      </c>
      <c r="AY60" s="118">
        <v>185529</v>
      </c>
      <c r="AZ60" s="111">
        <v>201759</v>
      </c>
      <c r="BA60" s="111">
        <v>207384</v>
      </c>
      <c r="BB60" s="206"/>
      <c r="BC60" s="111">
        <v>239779</v>
      </c>
      <c r="BD60" s="111">
        <v>223986</v>
      </c>
      <c r="BE60" s="111">
        <v>222550</v>
      </c>
      <c r="BF60" s="111">
        <v>201745</v>
      </c>
    </row>
    <row r="61" spans="1:58" ht="15.75" customHeight="1">
      <c r="B61" s="15" t="s">
        <v>42</v>
      </c>
      <c r="C61" s="29">
        <f>113196-91334</f>
        <v>21862</v>
      </c>
      <c r="D61" s="29"/>
      <c r="E61" s="29">
        <v>385691</v>
      </c>
      <c r="F61" s="29">
        <v>432007</v>
      </c>
      <c r="G61" s="29">
        <v>105175</v>
      </c>
      <c r="H61" s="29">
        <f>71721-53142</f>
        <v>18579</v>
      </c>
      <c r="J61" s="29">
        <v>319689</v>
      </c>
      <c r="K61" s="29">
        <v>299127</v>
      </c>
      <c r="L61" s="29">
        <v>105536</v>
      </c>
      <c r="M61" s="29">
        <f>99828-34437</f>
        <v>65391</v>
      </c>
      <c r="N61" s="29">
        <f>56780+72079</f>
        <v>128859</v>
      </c>
      <c r="P61" s="111">
        <v>63860</v>
      </c>
      <c r="Q61" s="111">
        <v>97634</v>
      </c>
      <c r="R61" s="111">
        <v>211483</v>
      </c>
      <c r="S61" s="111">
        <f>291441-1</f>
        <v>291440</v>
      </c>
      <c r="T61" s="111">
        <v>240584</v>
      </c>
      <c r="U61" s="111">
        <v>322997</v>
      </c>
      <c r="V61" s="111">
        <f>240793+79157</f>
        <v>319950</v>
      </c>
      <c r="X61" s="111">
        <v>423064</v>
      </c>
      <c r="Y61" s="111">
        <v>328638</v>
      </c>
      <c r="Z61" s="111">
        <v>329979</v>
      </c>
      <c r="AA61" s="111">
        <v>237324</v>
      </c>
      <c r="AB61" s="111"/>
      <c r="AC61" s="111">
        <v>233297</v>
      </c>
      <c r="AD61" s="111">
        <v>262274</v>
      </c>
      <c r="AE61" s="111">
        <v>271243</v>
      </c>
      <c r="AF61" s="111">
        <f>278510-1</f>
        <v>278509</v>
      </c>
      <c r="AG61" s="111">
        <f>278510-1</f>
        <v>278509</v>
      </c>
      <c r="AI61" s="111">
        <v>280961</v>
      </c>
      <c r="AJ61" s="111">
        <v>287788</v>
      </c>
      <c r="AK61" s="111">
        <v>298376</v>
      </c>
      <c r="AL61" s="111">
        <v>268515</v>
      </c>
      <c r="AM61" s="111"/>
      <c r="AN61" s="111">
        <v>311126</v>
      </c>
      <c r="AO61" s="111">
        <v>300811</v>
      </c>
      <c r="AP61" s="111">
        <v>307749</v>
      </c>
      <c r="AQ61" s="118">
        <v>408744</v>
      </c>
      <c r="AR61" s="206"/>
      <c r="AS61" s="118">
        <v>386885</v>
      </c>
      <c r="AT61" s="118">
        <v>311448</v>
      </c>
      <c r="AU61" s="118">
        <v>323988</v>
      </c>
      <c r="AV61" s="118">
        <v>135088</v>
      </c>
      <c r="AW61" s="206"/>
      <c r="AX61" s="118">
        <v>137888</v>
      </c>
      <c r="AY61" s="118">
        <v>123276</v>
      </c>
      <c r="AZ61" s="111">
        <v>131086</v>
      </c>
      <c r="BA61" s="111">
        <v>127424</v>
      </c>
      <c r="BB61" s="206"/>
      <c r="BC61" s="111">
        <v>131549</v>
      </c>
      <c r="BD61" s="111">
        <v>124779</v>
      </c>
      <c r="BE61" s="111">
        <v>129018</v>
      </c>
      <c r="BF61" s="111">
        <v>29117</v>
      </c>
    </row>
    <row r="62" spans="1:58" ht="16.5" customHeight="1">
      <c r="B62" s="15" t="s">
        <v>191</v>
      </c>
      <c r="C62" s="29">
        <f>4547+370806</f>
        <v>375353</v>
      </c>
      <c r="D62" s="29"/>
      <c r="E62" s="29">
        <f>5363+391930</f>
        <v>397293</v>
      </c>
      <c r="F62" s="29">
        <f>6801+395002</f>
        <v>401803</v>
      </c>
      <c r="G62" s="29">
        <f>7133+395329</f>
        <v>402462</v>
      </c>
      <c r="H62" s="29">
        <f>7080+374123</f>
        <v>381203</v>
      </c>
      <c r="J62" s="29">
        <f>7001+390595</f>
        <v>397596</v>
      </c>
      <c r="K62" s="29">
        <f>9106+394054</f>
        <v>403160</v>
      </c>
      <c r="L62" s="29">
        <f>9951+388436</f>
        <v>398387</v>
      </c>
      <c r="M62" s="110">
        <f>2932+366140</f>
        <v>369072</v>
      </c>
      <c r="N62" s="110">
        <v>369072</v>
      </c>
      <c r="P62" s="111">
        <f>3227+360684</f>
        <v>363911</v>
      </c>
      <c r="Q62" s="111">
        <f>3227+360684</f>
        <v>363911</v>
      </c>
      <c r="R62" s="111">
        <f>5754+364701</f>
        <v>370455</v>
      </c>
      <c r="S62" s="111">
        <f>5754+364701</f>
        <v>370455</v>
      </c>
      <c r="T62" s="111">
        <f>17875+364824</f>
        <v>382699</v>
      </c>
      <c r="U62" s="111">
        <f>17875+364824</f>
        <v>382699</v>
      </c>
      <c r="V62" s="111">
        <v>440950</v>
      </c>
      <c r="X62" s="111">
        <v>446411</v>
      </c>
      <c r="Y62" s="111">
        <v>453585</v>
      </c>
      <c r="Z62" s="111">
        <v>467709</v>
      </c>
      <c r="AA62" s="111">
        <v>494531</v>
      </c>
      <c r="AB62" s="111"/>
      <c r="AC62" s="111">
        <v>482020</v>
      </c>
      <c r="AD62" s="111">
        <v>484771</v>
      </c>
      <c r="AE62" s="111">
        <v>469005</v>
      </c>
      <c r="AF62" s="111">
        <v>435568</v>
      </c>
      <c r="AG62" s="111">
        <v>435568</v>
      </c>
      <c r="AI62" s="111">
        <v>437095</v>
      </c>
      <c r="AJ62" s="111">
        <v>438445</v>
      </c>
      <c r="AK62" s="111">
        <v>436939</v>
      </c>
      <c r="AL62" s="111">
        <v>441254</v>
      </c>
      <c r="AM62" s="111"/>
      <c r="AN62" s="111">
        <v>446918</v>
      </c>
      <c r="AO62" s="111">
        <v>442592</v>
      </c>
      <c r="AP62" s="111">
        <v>461038</v>
      </c>
      <c r="AQ62" s="118">
        <v>445591</v>
      </c>
      <c r="AR62" s="206"/>
      <c r="AS62" s="118">
        <v>442565</v>
      </c>
      <c r="AT62" s="118">
        <v>444603</v>
      </c>
      <c r="AU62" s="118">
        <v>443352</v>
      </c>
      <c r="AV62" s="118">
        <v>362307</v>
      </c>
      <c r="AW62" s="206"/>
      <c r="AX62" s="118">
        <v>353793</v>
      </c>
      <c r="AY62" s="118">
        <v>353956</v>
      </c>
      <c r="AZ62" s="111">
        <v>360393</v>
      </c>
      <c r="BA62" s="111">
        <v>292873</v>
      </c>
      <c r="BB62" s="206"/>
      <c r="BC62" s="111">
        <v>287160</v>
      </c>
      <c r="BD62" s="111">
        <v>283875</v>
      </c>
      <c r="BE62" s="111">
        <v>279338</v>
      </c>
      <c r="BF62" s="111">
        <v>357121</v>
      </c>
    </row>
    <row r="63" spans="1:58" ht="16.5" customHeight="1">
      <c r="B63" s="15" t="s">
        <v>133</v>
      </c>
      <c r="C63" s="29">
        <v>0</v>
      </c>
      <c r="D63" s="29"/>
      <c r="E63" s="29">
        <v>0</v>
      </c>
      <c r="F63" s="29">
        <v>0</v>
      </c>
      <c r="G63" s="29">
        <v>0</v>
      </c>
      <c r="H63" s="29">
        <v>0</v>
      </c>
      <c r="J63" s="29">
        <v>0</v>
      </c>
      <c r="K63" s="29">
        <v>0</v>
      </c>
      <c r="L63" s="29">
        <v>0</v>
      </c>
      <c r="M63" s="29">
        <v>0</v>
      </c>
      <c r="N63" s="111">
        <v>0</v>
      </c>
      <c r="P63" s="29">
        <v>0</v>
      </c>
      <c r="Q63" s="29">
        <v>0</v>
      </c>
      <c r="R63" s="29">
        <v>0</v>
      </c>
      <c r="S63" s="29">
        <v>0</v>
      </c>
      <c r="T63" s="29">
        <v>0</v>
      </c>
      <c r="U63" s="29">
        <v>0</v>
      </c>
      <c r="V63" s="29">
        <v>0</v>
      </c>
      <c r="X63" s="29">
        <v>0</v>
      </c>
      <c r="Y63" s="29">
        <v>0</v>
      </c>
      <c r="Z63" s="29">
        <v>0</v>
      </c>
      <c r="AA63" s="29">
        <v>0</v>
      </c>
      <c r="AB63" s="29"/>
      <c r="AC63" s="29">
        <v>0</v>
      </c>
      <c r="AD63" s="29">
        <v>0</v>
      </c>
      <c r="AE63" s="29">
        <v>0</v>
      </c>
      <c r="AF63" s="29">
        <v>0</v>
      </c>
      <c r="AG63" s="29">
        <v>0</v>
      </c>
      <c r="AI63" s="29">
        <v>0</v>
      </c>
      <c r="AJ63" s="29">
        <v>0</v>
      </c>
      <c r="AK63" s="29">
        <v>0</v>
      </c>
      <c r="AL63" s="29">
        <v>0</v>
      </c>
      <c r="AM63" s="29"/>
      <c r="AN63" s="29">
        <v>0</v>
      </c>
      <c r="AO63" s="29">
        <v>0</v>
      </c>
      <c r="AP63" s="29">
        <v>0</v>
      </c>
      <c r="AQ63" s="153">
        <v>0</v>
      </c>
      <c r="AR63" s="206"/>
      <c r="AS63" s="153">
        <v>0</v>
      </c>
      <c r="AT63" s="153">
        <v>0</v>
      </c>
      <c r="AU63" s="153">
        <v>0</v>
      </c>
      <c r="AV63" s="153">
        <v>0</v>
      </c>
      <c r="AW63" s="206"/>
      <c r="AX63" s="153">
        <v>0</v>
      </c>
      <c r="AY63" s="153">
        <v>0</v>
      </c>
      <c r="AZ63" s="29">
        <v>0</v>
      </c>
      <c r="BA63" s="29">
        <v>0</v>
      </c>
      <c r="BB63" s="206"/>
      <c r="BC63" s="29">
        <v>0</v>
      </c>
      <c r="BD63" s="29">
        <v>0</v>
      </c>
      <c r="BE63" s="29">
        <v>0</v>
      </c>
      <c r="BF63" s="29">
        <v>0</v>
      </c>
    </row>
    <row r="64" spans="1:58" ht="16.5" customHeight="1">
      <c r="B64" s="15" t="s">
        <v>136</v>
      </c>
      <c r="C64" s="29">
        <v>45985</v>
      </c>
      <c r="D64" s="29"/>
      <c r="E64" s="29">
        <v>51911</v>
      </c>
      <c r="F64" s="29">
        <v>36441</v>
      </c>
      <c r="G64" s="29">
        <v>62821</v>
      </c>
      <c r="H64" s="29">
        <v>126704</v>
      </c>
      <c r="J64" s="29">
        <v>121582</v>
      </c>
      <c r="K64" s="29">
        <v>133199</v>
      </c>
      <c r="L64" s="29">
        <v>175742</v>
      </c>
      <c r="M64" s="110">
        <v>172155</v>
      </c>
      <c r="N64" s="110">
        <v>172155</v>
      </c>
      <c r="P64" s="111">
        <v>135598</v>
      </c>
      <c r="Q64" s="111">
        <v>135598</v>
      </c>
      <c r="R64" s="111">
        <v>113868</v>
      </c>
      <c r="S64" s="111">
        <v>113868</v>
      </c>
      <c r="T64" s="111">
        <v>90431</v>
      </c>
      <c r="U64" s="111">
        <v>90431</v>
      </c>
      <c r="V64" s="111">
        <v>8901</v>
      </c>
      <c r="X64" s="111">
        <v>8925</v>
      </c>
      <c r="Y64" s="111">
        <v>6665</v>
      </c>
      <c r="Z64" s="111">
        <v>1912</v>
      </c>
      <c r="AA64" s="111">
        <v>0</v>
      </c>
      <c r="AB64" s="111"/>
      <c r="AC64" s="111">
        <v>0</v>
      </c>
      <c r="AD64" s="111">
        <v>316</v>
      </c>
      <c r="AE64" s="111">
        <v>805</v>
      </c>
      <c r="AF64" s="111">
        <v>22750</v>
      </c>
      <c r="AG64" s="111">
        <v>22750</v>
      </c>
      <c r="AI64" s="111">
        <v>32200</v>
      </c>
      <c r="AJ64" s="111">
        <v>51327</v>
      </c>
      <c r="AK64" s="111">
        <v>61469</v>
      </c>
      <c r="AL64" s="111">
        <v>48719</v>
      </c>
      <c r="AM64" s="111"/>
      <c r="AN64" s="111">
        <v>113346</v>
      </c>
      <c r="AO64" s="111">
        <v>109209</v>
      </c>
      <c r="AP64" s="111">
        <v>105934</v>
      </c>
      <c r="AQ64" s="118">
        <v>95940</v>
      </c>
      <c r="AR64" s="206"/>
      <c r="AS64" s="118">
        <v>78410</v>
      </c>
      <c r="AT64" s="118">
        <v>68916</v>
      </c>
      <c r="AU64" s="118">
        <v>61229</v>
      </c>
      <c r="AV64" s="118">
        <v>48373</v>
      </c>
      <c r="AW64" s="206"/>
      <c r="AX64" s="118">
        <v>29416</v>
      </c>
      <c r="AY64" s="118">
        <v>13334</v>
      </c>
      <c r="AZ64" s="111">
        <v>16229</v>
      </c>
      <c r="BA64" s="111">
        <v>649</v>
      </c>
      <c r="BB64" s="206"/>
      <c r="BC64" s="111">
        <v>9549</v>
      </c>
      <c r="BD64" s="111">
        <v>57784</v>
      </c>
      <c r="BE64" s="111">
        <v>45415</v>
      </c>
      <c r="BF64" s="111">
        <v>115943</v>
      </c>
    </row>
    <row r="65" spans="1:58" ht="16.5" customHeight="1">
      <c r="B65" s="15" t="s">
        <v>137</v>
      </c>
      <c r="C65" s="29">
        <v>0</v>
      </c>
      <c r="D65" s="29"/>
      <c r="E65" s="29">
        <v>0</v>
      </c>
      <c r="F65" s="29">
        <v>0</v>
      </c>
      <c r="G65" s="29">
        <v>0</v>
      </c>
      <c r="H65" s="29">
        <f>446-446</f>
        <v>0</v>
      </c>
      <c r="J65" s="29">
        <v>41762</v>
      </c>
      <c r="K65" s="29">
        <v>30</v>
      </c>
      <c r="L65" s="29">
        <v>0</v>
      </c>
      <c r="M65" s="110">
        <v>0</v>
      </c>
      <c r="N65" s="110">
        <v>0</v>
      </c>
      <c r="P65" s="111">
        <v>0</v>
      </c>
      <c r="Q65" s="111">
        <v>0</v>
      </c>
      <c r="R65" s="111">
        <v>0</v>
      </c>
      <c r="S65" s="111">
        <v>0</v>
      </c>
      <c r="T65" s="111">
        <v>0</v>
      </c>
      <c r="U65" s="111">
        <v>0</v>
      </c>
      <c r="V65" s="111">
        <v>0</v>
      </c>
      <c r="X65" s="111">
        <v>0</v>
      </c>
      <c r="Y65" s="111">
        <v>0</v>
      </c>
      <c r="Z65" s="111">
        <v>0</v>
      </c>
      <c r="AA65" s="111">
        <v>0</v>
      </c>
      <c r="AB65" s="111"/>
      <c r="AC65" s="111">
        <v>0</v>
      </c>
      <c r="AD65" s="111">
        <v>0</v>
      </c>
      <c r="AE65" s="111">
        <v>0</v>
      </c>
      <c r="AF65" s="111">
        <v>0</v>
      </c>
      <c r="AG65" s="111">
        <v>0</v>
      </c>
      <c r="AI65" s="111">
        <v>0</v>
      </c>
      <c r="AJ65" s="111">
        <v>0</v>
      </c>
      <c r="AK65" s="111">
        <v>0</v>
      </c>
      <c r="AL65" s="111">
        <v>0</v>
      </c>
      <c r="AM65" s="111"/>
      <c r="AN65" s="111">
        <v>0</v>
      </c>
      <c r="AO65" s="111">
        <v>0</v>
      </c>
      <c r="AP65" s="111">
        <v>0</v>
      </c>
      <c r="AQ65" s="118">
        <v>0</v>
      </c>
      <c r="AR65" s="206"/>
      <c r="AS65" s="118">
        <v>0</v>
      </c>
      <c r="AT65" s="118">
        <v>0</v>
      </c>
      <c r="AU65" s="118">
        <v>0</v>
      </c>
      <c r="AV65" s="118">
        <v>0</v>
      </c>
      <c r="AW65" s="206"/>
      <c r="AX65" s="118">
        <v>0</v>
      </c>
      <c r="AY65" s="118">
        <v>0</v>
      </c>
      <c r="AZ65" s="111">
        <v>0</v>
      </c>
      <c r="BA65" s="111">
        <v>0</v>
      </c>
      <c r="BB65" s="206"/>
      <c r="BC65" s="111">
        <v>0</v>
      </c>
      <c r="BD65" s="111">
        <v>0</v>
      </c>
      <c r="BE65" s="111">
        <v>0</v>
      </c>
      <c r="BF65" s="111">
        <v>0</v>
      </c>
    </row>
    <row r="66" spans="1:58" ht="16.5" customHeight="1">
      <c r="A66" s="14"/>
      <c r="B66" s="15" t="s">
        <v>266</v>
      </c>
      <c r="C66" s="29">
        <v>25476</v>
      </c>
      <c r="D66" s="29"/>
      <c r="E66" s="30">
        <f>20905+1</f>
        <v>20906</v>
      </c>
      <c r="F66" s="30">
        <v>79489</v>
      </c>
      <c r="G66" s="30">
        <v>-26163</v>
      </c>
      <c r="H66" s="30">
        <f>25537+446</f>
        <v>25983</v>
      </c>
      <c r="J66" s="29">
        <f>40497</f>
        <v>40497</v>
      </c>
      <c r="K66" s="29">
        <f>9105</f>
        <v>9105</v>
      </c>
      <c r="L66" s="30">
        <f>188355-1</f>
        <v>188354</v>
      </c>
      <c r="M66" s="110">
        <v>102655</v>
      </c>
      <c r="N66" s="110">
        <v>102655</v>
      </c>
      <c r="P66" s="111">
        <v>124495</v>
      </c>
      <c r="Q66" s="111">
        <v>124495</v>
      </c>
      <c r="R66" s="111">
        <v>201607</v>
      </c>
      <c r="S66" s="111">
        <v>201607</v>
      </c>
      <c r="T66" s="111">
        <v>256588</v>
      </c>
      <c r="U66" s="111">
        <v>256588</v>
      </c>
      <c r="V66" s="111">
        <v>246984</v>
      </c>
      <c r="X66" s="111">
        <v>414741</v>
      </c>
      <c r="Y66" s="111">
        <v>441063</v>
      </c>
      <c r="Z66" s="111">
        <v>430327</v>
      </c>
      <c r="AA66" s="111">
        <v>401163</v>
      </c>
      <c r="AB66" s="111"/>
      <c r="AC66" s="111">
        <v>424741</v>
      </c>
      <c r="AD66" s="111">
        <v>436401</v>
      </c>
      <c r="AE66" s="111">
        <v>455659</v>
      </c>
      <c r="AF66" s="111">
        <v>464538</v>
      </c>
      <c r="AG66" s="111">
        <v>464538</v>
      </c>
      <c r="AI66" s="111">
        <v>474959</v>
      </c>
      <c r="AJ66" s="111">
        <v>495347</v>
      </c>
      <c r="AK66" s="111">
        <v>512877</v>
      </c>
      <c r="AL66" s="111">
        <v>510775</v>
      </c>
      <c r="AM66" s="111"/>
      <c r="AN66" s="111">
        <v>540104</v>
      </c>
      <c r="AO66" s="111">
        <v>540862</v>
      </c>
      <c r="AP66" s="111">
        <v>561363</v>
      </c>
      <c r="AQ66" s="118">
        <v>575101</v>
      </c>
      <c r="AR66" s="206"/>
      <c r="AS66" s="118">
        <v>593158</v>
      </c>
      <c r="AT66" s="118">
        <v>607375</v>
      </c>
      <c r="AU66" s="118">
        <v>619555</v>
      </c>
      <c r="AV66" s="118">
        <v>610589</v>
      </c>
      <c r="AW66" s="206"/>
      <c r="AX66" s="118">
        <v>626014</v>
      </c>
      <c r="AY66" s="118">
        <v>140284</v>
      </c>
      <c r="AZ66" s="111">
        <v>498</v>
      </c>
      <c r="BA66" s="111">
        <v>0</v>
      </c>
      <c r="BB66" s="206"/>
      <c r="BC66" s="111">
        <v>0</v>
      </c>
      <c r="BD66" s="111">
        <v>0</v>
      </c>
      <c r="BE66" s="111">
        <v>0</v>
      </c>
      <c r="BF66" s="111">
        <v>0</v>
      </c>
    </row>
    <row r="67" spans="1:58" ht="12" customHeight="1">
      <c r="B67" s="15"/>
      <c r="C67" s="22"/>
      <c r="D67" s="22"/>
      <c r="E67" s="22"/>
      <c r="F67" s="22"/>
      <c r="G67" s="22"/>
      <c r="H67" s="22"/>
      <c r="J67" s="22"/>
      <c r="K67" s="22"/>
      <c r="L67" s="22"/>
      <c r="M67" s="22"/>
      <c r="N67" s="22"/>
      <c r="P67" s="22"/>
      <c r="Q67" s="22"/>
      <c r="R67" s="22"/>
      <c r="S67" s="22"/>
      <c r="T67" s="22"/>
      <c r="U67" s="22"/>
      <c r="V67" s="22"/>
      <c r="X67" s="22"/>
      <c r="Y67" s="22"/>
      <c r="Z67" s="22"/>
      <c r="AA67" s="22"/>
      <c r="AB67" s="22"/>
      <c r="AC67" s="22"/>
      <c r="AD67" s="22"/>
      <c r="AE67" s="22"/>
      <c r="AF67" s="22"/>
      <c r="AG67" s="22"/>
      <c r="AI67" s="22"/>
      <c r="AJ67" s="22"/>
      <c r="AK67" s="22"/>
      <c r="AL67" s="22"/>
      <c r="AM67" s="22"/>
      <c r="AN67" s="22"/>
      <c r="AO67" s="22"/>
      <c r="AP67" s="22"/>
      <c r="AQ67" s="22"/>
      <c r="AR67" s="206"/>
      <c r="AS67" s="22"/>
      <c r="AT67" s="22"/>
      <c r="AU67" s="22"/>
      <c r="AV67" s="22"/>
      <c r="AW67" s="206"/>
      <c r="AX67" s="22"/>
      <c r="AY67" s="22"/>
      <c r="BA67" s="22"/>
      <c r="BB67" s="206"/>
      <c r="BC67" s="22"/>
      <c r="BD67" s="22"/>
      <c r="BE67" s="22"/>
      <c r="BF67" s="22"/>
    </row>
    <row r="68" spans="1:58" ht="13">
      <c r="B68" s="24" t="s">
        <v>57</v>
      </c>
      <c r="C68" s="25">
        <f>SUM(C56:C67)</f>
        <v>6249353</v>
      </c>
      <c r="D68" s="25"/>
      <c r="E68" s="25">
        <f>SUM(E56:E67)</f>
        <v>7579322</v>
      </c>
      <c r="F68" s="25">
        <f>SUM(F56:F67)</f>
        <v>6172318</v>
      </c>
      <c r="G68" s="25">
        <f>SUM(G56:G67)</f>
        <v>7637479</v>
      </c>
      <c r="H68" s="25">
        <f>SUM(H56:H67)</f>
        <v>9858167</v>
      </c>
      <c r="J68" s="25">
        <f>SUM(J56:J67)</f>
        <v>10365667</v>
      </c>
      <c r="K68" s="25">
        <f>SUM(K56:K67)</f>
        <v>10432069</v>
      </c>
      <c r="L68" s="25">
        <f>SUM(L56:L67)</f>
        <v>11680762</v>
      </c>
      <c r="M68" s="25">
        <f>SUM(M56:M67)</f>
        <v>11895949</v>
      </c>
      <c r="N68" s="25">
        <f>SUM(N56:N67)</f>
        <v>12395477</v>
      </c>
      <c r="P68" s="25">
        <f t="shared" ref="P68:V68" si="14">SUM(P56:P67)</f>
        <v>11884669</v>
      </c>
      <c r="Q68" s="25">
        <f t="shared" si="14"/>
        <v>12085912</v>
      </c>
      <c r="R68" s="25">
        <f t="shared" si="14"/>
        <v>13022219</v>
      </c>
      <c r="S68" s="25">
        <f t="shared" si="14"/>
        <v>13213296</v>
      </c>
      <c r="T68" s="25">
        <f t="shared" si="14"/>
        <v>13126826</v>
      </c>
      <c r="U68" s="25">
        <f t="shared" ref="U68" si="15">SUM(U56:U67)</f>
        <v>13131168</v>
      </c>
      <c r="V68" s="25">
        <f t="shared" si="14"/>
        <v>13903859</v>
      </c>
      <c r="X68" s="25">
        <f>SUM(X56:X67)</f>
        <v>14049073</v>
      </c>
      <c r="Y68" s="25">
        <f t="shared" ref="Y68:Z68" si="16">SUM(Y56:Y67)</f>
        <v>15498532</v>
      </c>
      <c r="Z68" s="25">
        <f t="shared" si="16"/>
        <v>14720473</v>
      </c>
      <c r="AA68" s="25">
        <f t="shared" ref="AA68:AC68" si="17">SUM(AA56:AA67)</f>
        <v>16153054</v>
      </c>
      <c r="AB68" s="25"/>
      <c r="AC68" s="25">
        <f t="shared" si="17"/>
        <v>14561959</v>
      </c>
      <c r="AD68" s="25">
        <f t="shared" ref="AD68:AF68" si="18">SUM(AD56:AD67)</f>
        <v>15345520</v>
      </c>
      <c r="AE68" s="25">
        <f t="shared" si="18"/>
        <v>14978580</v>
      </c>
      <c r="AF68" s="25">
        <f t="shared" si="18"/>
        <v>16111769</v>
      </c>
      <c r="AG68" s="25">
        <f t="shared" ref="AG68" si="19">SUM(AG56:AG67)</f>
        <v>16072329</v>
      </c>
      <c r="AI68" s="25">
        <v>16175543</v>
      </c>
      <c r="AJ68" s="25">
        <v>17748038</v>
      </c>
      <c r="AK68" s="25">
        <v>18269670</v>
      </c>
      <c r="AL68" s="25">
        <v>17574166</v>
      </c>
      <c r="AM68" s="25"/>
      <c r="AN68" s="25">
        <v>19524690</v>
      </c>
      <c r="AO68" s="25">
        <v>18600618</v>
      </c>
      <c r="AP68" s="25">
        <v>19176995</v>
      </c>
      <c r="AQ68" s="25">
        <f t="shared" ref="AQ68" si="20">SUM(AQ56:AQ67)</f>
        <v>17919567</v>
      </c>
      <c r="AR68" s="206"/>
      <c r="AS68" s="25">
        <f t="shared" ref="AS68:AV68" si="21">SUM(AS56:AS67)</f>
        <v>18609125</v>
      </c>
      <c r="AT68" s="25">
        <f t="shared" si="21"/>
        <v>17103236</v>
      </c>
      <c r="AU68" s="25">
        <f t="shared" si="21"/>
        <v>17234935</v>
      </c>
      <c r="AV68" s="25">
        <f t="shared" si="21"/>
        <v>16017823</v>
      </c>
      <c r="AW68" s="206"/>
      <c r="AX68" s="25">
        <f t="shared" ref="AX68:AY68" si="22">SUM(AX56:AX67)</f>
        <v>15993310</v>
      </c>
      <c r="AY68" s="25">
        <f t="shared" si="22"/>
        <v>14370688</v>
      </c>
      <c r="AZ68" s="25">
        <v>13411974</v>
      </c>
      <c r="BA68" s="25">
        <f t="shared" ref="BA68" si="23">SUM(BA56:BA67)</f>
        <v>14589632</v>
      </c>
      <c r="BB68" s="206"/>
      <c r="BC68" s="25">
        <v>14989828</v>
      </c>
      <c r="BD68" s="25">
        <v>14548535</v>
      </c>
      <c r="BE68" s="25">
        <v>13828546</v>
      </c>
      <c r="BF68" s="25">
        <v>13291217</v>
      </c>
    </row>
    <row r="69" spans="1:58" ht="3.75" customHeight="1">
      <c r="B69" s="15"/>
      <c r="C69" s="22"/>
      <c r="D69" s="22"/>
      <c r="E69" s="22"/>
      <c r="F69" s="22"/>
      <c r="G69" s="22"/>
      <c r="H69" s="22"/>
      <c r="J69" s="22"/>
      <c r="K69" s="22"/>
      <c r="L69" s="22"/>
      <c r="M69" s="22"/>
      <c r="N69" s="22"/>
      <c r="P69" s="22"/>
      <c r="Q69" s="22"/>
      <c r="R69" s="22"/>
      <c r="S69" s="22"/>
      <c r="T69" s="22"/>
      <c r="U69" s="22"/>
      <c r="V69" s="22"/>
      <c r="X69" s="22"/>
      <c r="Y69" s="22"/>
      <c r="Z69" s="22"/>
      <c r="AA69" s="22"/>
      <c r="AB69" s="22"/>
      <c r="AC69" s="22"/>
      <c r="AD69" s="22"/>
      <c r="AE69" s="22"/>
      <c r="AF69" s="22"/>
      <c r="AG69" s="22"/>
      <c r="AI69" s="22"/>
      <c r="AJ69" s="22"/>
      <c r="AK69" s="22"/>
      <c r="AL69" s="22"/>
      <c r="AM69" s="22"/>
      <c r="AN69" s="22"/>
      <c r="AO69" s="22"/>
      <c r="AP69" s="22"/>
      <c r="AQ69" s="22"/>
      <c r="AR69" s="206"/>
      <c r="AS69" s="22"/>
      <c r="AT69" s="22"/>
      <c r="AU69" s="22"/>
      <c r="AV69" s="22"/>
      <c r="AW69" s="206"/>
      <c r="AX69" s="22"/>
      <c r="AY69" s="22"/>
      <c r="AZ69" s="22"/>
      <c r="BA69" s="22"/>
      <c r="BB69" s="206"/>
      <c r="BC69" s="22"/>
      <c r="BD69" s="22"/>
      <c r="BE69" s="22"/>
      <c r="BF69" s="22"/>
    </row>
    <row r="70" spans="1:58" ht="16.5" customHeight="1">
      <c r="B70" s="37" t="s">
        <v>58</v>
      </c>
      <c r="C70" s="40">
        <f>+C54+C68</f>
        <v>9001507</v>
      </c>
      <c r="D70" s="40"/>
      <c r="E70" s="40">
        <f>+E54+E68</f>
        <v>11229979</v>
      </c>
      <c r="F70" s="40">
        <f>+F54+F68</f>
        <v>11717199</v>
      </c>
      <c r="G70" s="40">
        <f>+G54+G68</f>
        <v>11858914</v>
      </c>
      <c r="H70" s="40">
        <f>+H54+H68</f>
        <v>13912123</v>
      </c>
      <c r="I70" s="39"/>
      <c r="J70" s="40">
        <f>+J54+J68</f>
        <v>15226936</v>
      </c>
      <c r="K70" s="40">
        <f>+K54+K68</f>
        <v>15196516</v>
      </c>
      <c r="L70" s="40">
        <f>+L54+L68</f>
        <v>17802924</v>
      </c>
      <c r="M70" s="40">
        <f>+M54+M68</f>
        <v>18885214</v>
      </c>
      <c r="N70" s="40">
        <f>+N54+N68</f>
        <v>19106311</v>
      </c>
      <c r="P70" s="25">
        <f t="shared" ref="P70:V70" si="24">+P54+P68</f>
        <v>19244562</v>
      </c>
      <c r="Q70" s="25">
        <f t="shared" si="24"/>
        <v>19455078</v>
      </c>
      <c r="R70" s="25">
        <f t="shared" si="24"/>
        <v>19564933</v>
      </c>
      <c r="S70" s="25">
        <f t="shared" si="24"/>
        <v>19759112</v>
      </c>
      <c r="T70" s="25">
        <f t="shared" si="24"/>
        <v>19750307</v>
      </c>
      <c r="U70" s="25">
        <f t="shared" ref="U70" si="25">+U54+U68</f>
        <v>19746715</v>
      </c>
      <c r="V70" s="25">
        <f t="shared" si="24"/>
        <v>21114978</v>
      </c>
      <c r="X70" s="25">
        <f>+X54+X68</f>
        <v>23880493</v>
      </c>
      <c r="Y70" s="25">
        <f t="shared" ref="Y70:Z70" si="26">+Y54+Y68</f>
        <v>24018124</v>
      </c>
      <c r="Z70" s="25">
        <f t="shared" si="26"/>
        <v>23288094</v>
      </c>
      <c r="AA70" s="25">
        <f t="shared" ref="AA70:AC70" si="27">+AA54+AA68</f>
        <v>23260800</v>
      </c>
      <c r="AB70" s="25"/>
      <c r="AC70" s="25">
        <f t="shared" si="27"/>
        <v>22129672</v>
      </c>
      <c r="AD70" s="25">
        <f t="shared" ref="AD70:AF70" si="28">+AD54+AD68</f>
        <v>22881345</v>
      </c>
      <c r="AE70" s="25">
        <f t="shared" si="28"/>
        <v>22626985</v>
      </c>
      <c r="AF70" s="25">
        <f t="shared" si="28"/>
        <v>23141616</v>
      </c>
      <c r="AG70" s="25">
        <f t="shared" ref="AG70" si="29">+AG54+AG68</f>
        <v>23075145</v>
      </c>
      <c r="AI70" s="25">
        <v>24266859</v>
      </c>
      <c r="AJ70" s="25">
        <v>26105653</v>
      </c>
      <c r="AK70" s="25">
        <v>26106168</v>
      </c>
      <c r="AL70" s="25">
        <v>24334884</v>
      </c>
      <c r="AM70" s="25"/>
      <c r="AN70" s="25">
        <v>27950952</v>
      </c>
      <c r="AO70" s="25">
        <v>26955901</v>
      </c>
      <c r="AP70" s="25">
        <v>26460958</v>
      </c>
      <c r="AQ70" s="25">
        <f t="shared" ref="AQ70" si="30">+AQ54+AQ68</f>
        <v>24543716</v>
      </c>
      <c r="AR70" s="206"/>
      <c r="AS70" s="25">
        <f t="shared" ref="AS70:AV70" si="31">+AS54+AS68</f>
        <v>26032506</v>
      </c>
      <c r="AT70" s="25">
        <f t="shared" si="31"/>
        <v>25066325</v>
      </c>
      <c r="AU70" s="25">
        <f t="shared" si="31"/>
        <v>25362138</v>
      </c>
      <c r="AV70" s="25">
        <f t="shared" si="31"/>
        <v>23782786</v>
      </c>
      <c r="AW70" s="206"/>
      <c r="AX70" s="25">
        <f t="shared" ref="AX70:AY70" si="32">+AX54+AX68</f>
        <v>23963446</v>
      </c>
      <c r="AY70" s="25">
        <f t="shared" si="32"/>
        <v>22211291</v>
      </c>
      <c r="AZ70" s="25">
        <v>23316365</v>
      </c>
      <c r="BA70" s="25">
        <f t="shared" ref="BA70" si="33">+BA54+BA68</f>
        <v>24911164</v>
      </c>
      <c r="BB70" s="206"/>
      <c r="BC70" s="25">
        <v>25703594</v>
      </c>
      <c r="BD70" s="25">
        <v>22505380</v>
      </c>
      <c r="BE70" s="25">
        <v>22980546</v>
      </c>
      <c r="BF70" s="25">
        <v>21612927</v>
      </c>
    </row>
    <row r="71" spans="1:58" ht="16.5" customHeight="1">
      <c r="B71" s="41" t="s">
        <v>48</v>
      </c>
      <c r="C71" s="42">
        <f>+C70/C95</f>
        <v>4671.6664158228805</v>
      </c>
      <c r="D71" s="42"/>
      <c r="E71" s="42">
        <f>+E70/E95</f>
        <v>5714.0714998066478</v>
      </c>
      <c r="F71" s="42">
        <f>+F70/F95</f>
        <v>6228.6100819162339</v>
      </c>
      <c r="G71" s="42">
        <f>+G70/G95</f>
        <v>5846.207012147026</v>
      </c>
      <c r="H71" s="42">
        <f>+H70/H95</f>
        <v>5814.9866664437441</v>
      </c>
      <c r="I71" s="43"/>
      <c r="J71" s="42">
        <f>+J70/J95</f>
        <v>5910.9629083286427</v>
      </c>
      <c r="K71" s="42">
        <f>+K70/K95</f>
        <v>5878.4794457489234</v>
      </c>
      <c r="L71" s="42">
        <f>+L70/L95</f>
        <v>5702.5195871797659</v>
      </c>
      <c r="M71" s="42">
        <f>+M70/M95</f>
        <v>5996.3149355288351</v>
      </c>
      <c r="N71" s="42">
        <f>+N70/N95</f>
        <v>6066.5162709916276</v>
      </c>
      <c r="P71" s="136">
        <f t="shared" ref="P71:V71" si="34">+P70/P95</f>
        <v>6367.4167452479032</v>
      </c>
      <c r="Q71" s="136">
        <f t="shared" si="34"/>
        <v>6437.0698297682266</v>
      </c>
      <c r="R71" s="136">
        <f t="shared" si="34"/>
        <v>6709.1655093187937</v>
      </c>
      <c r="S71" s="136">
        <f t="shared" si="34"/>
        <v>6775.7529619532597</v>
      </c>
      <c r="T71" s="136">
        <f t="shared" si="34"/>
        <v>6857.8645462594841</v>
      </c>
      <c r="U71" s="136">
        <f t="shared" ref="U71" si="35">+U70/U95</f>
        <v>6856.6173023837227</v>
      </c>
      <c r="V71" s="136">
        <f t="shared" si="34"/>
        <v>7036.6606569778487</v>
      </c>
      <c r="X71" s="136">
        <f>+X70/X95</f>
        <v>8291.1469183123627</v>
      </c>
      <c r="Y71" s="136">
        <f t="shared" ref="Y71:AC71" si="36">+Y70/Y95</f>
        <v>7905.223384437144</v>
      </c>
      <c r="Z71" s="136">
        <f t="shared" si="36"/>
        <v>7930.1024629937992</v>
      </c>
      <c r="AA71" s="136">
        <f t="shared" si="36"/>
        <v>7795.1742627345848</v>
      </c>
      <c r="AB71" s="136"/>
      <c r="AC71" s="136">
        <f t="shared" si="36"/>
        <v>7958.968088128986</v>
      </c>
      <c r="AD71" s="136">
        <f t="shared" ref="AD71:AF71" si="37">+AD70/AD95</f>
        <v>7807.201105500204</v>
      </c>
      <c r="AE71" s="136">
        <f t="shared" si="37"/>
        <v>7612.92552940939</v>
      </c>
      <c r="AF71" s="136">
        <f t="shared" si="37"/>
        <v>7121.0450034618052</v>
      </c>
      <c r="AG71" s="136">
        <f t="shared" ref="AG71" si="38">+AG70/AG95</f>
        <v>7100.5908146780521</v>
      </c>
      <c r="AI71" s="136">
        <v>7643.6107585068621</v>
      </c>
      <c r="AJ71" s="136">
        <v>8143.587144029173</v>
      </c>
      <c r="AK71" s="136">
        <v>7540.754648311241</v>
      </c>
      <c r="AL71" s="136">
        <v>7425.6467529614238</v>
      </c>
      <c r="AM71" s="136"/>
      <c r="AN71" s="136">
        <v>6876.3243546438825</v>
      </c>
      <c r="AO71" s="136">
        <v>7171.2014919218609</v>
      </c>
      <c r="AP71" s="136">
        <v>6821.6981958988799</v>
      </c>
      <c r="AQ71" s="136">
        <f t="shared" ref="AQ71" si="39">+AQ70/AQ95</f>
        <v>7150.3906773488707</v>
      </c>
      <c r="AR71" s="206"/>
      <c r="AS71" s="136">
        <f t="shared" ref="AS71:AV71" si="40">+AS70/AS95</f>
        <v>6966.3186964631204</v>
      </c>
      <c r="AT71" s="136">
        <f t="shared" si="40"/>
        <v>6672.4852063130375</v>
      </c>
      <c r="AU71" s="136">
        <f t="shared" si="40"/>
        <v>6613.886425986002</v>
      </c>
      <c r="AV71" s="136">
        <f t="shared" si="40"/>
        <v>5973.8332546293041</v>
      </c>
      <c r="AW71" s="206"/>
      <c r="AX71" s="136">
        <f t="shared" ref="AX71:AY71" si="41">+AX70/AX95</f>
        <v>6393.4063471312511</v>
      </c>
      <c r="AY71" s="136">
        <f t="shared" si="41"/>
        <v>5381.3331168972754</v>
      </c>
      <c r="AZ71" s="136">
        <v>5144.7495294644614</v>
      </c>
      <c r="BA71" s="136">
        <f t="shared" ref="BA71" si="42">+BA70/BA95</f>
        <v>5178.8208390503514</v>
      </c>
      <c r="BB71" s="206"/>
      <c r="BC71" s="136">
        <v>5554.8074782755266</v>
      </c>
      <c r="BD71" s="136">
        <v>5369.5720639041056</v>
      </c>
      <c r="BE71" s="136">
        <v>5668.9458675402584</v>
      </c>
      <c r="BF71" s="136">
        <v>5654.7996494028075</v>
      </c>
    </row>
    <row r="72" spans="1:58">
      <c r="C72" s="22"/>
      <c r="D72" s="22"/>
      <c r="E72" s="22"/>
      <c r="F72" s="22"/>
      <c r="G72" s="22"/>
      <c r="H72" s="22"/>
      <c r="J72" s="22"/>
      <c r="K72" s="22"/>
      <c r="L72" s="22"/>
      <c r="M72" s="22"/>
      <c r="N72" s="22"/>
      <c r="P72" s="22"/>
      <c r="Q72" s="22"/>
      <c r="R72" s="22"/>
      <c r="S72" s="22"/>
      <c r="T72" s="22"/>
      <c r="U72" s="22"/>
      <c r="V72" s="22"/>
      <c r="X72" s="22"/>
      <c r="Y72" s="22"/>
      <c r="Z72" s="22"/>
      <c r="AA72" s="22"/>
      <c r="AB72" s="22"/>
      <c r="AC72" s="22"/>
      <c r="AD72" s="22"/>
      <c r="AE72" s="22"/>
      <c r="AF72" s="22"/>
      <c r="AG72" s="22"/>
      <c r="AI72" s="22"/>
      <c r="AJ72" s="22"/>
      <c r="AK72" s="22"/>
      <c r="AL72" s="22"/>
      <c r="AM72" s="22"/>
      <c r="AN72" s="22"/>
      <c r="AO72" s="22"/>
      <c r="AP72" s="22"/>
      <c r="AQ72" s="22"/>
      <c r="AR72" s="206"/>
      <c r="AS72" s="22"/>
      <c r="AT72" s="22"/>
      <c r="AU72" s="22"/>
      <c r="AV72" s="22"/>
      <c r="AW72" s="206"/>
      <c r="AX72" s="22"/>
      <c r="AY72" s="22"/>
      <c r="AZ72" s="22"/>
      <c r="BA72" s="22"/>
      <c r="BB72" s="206"/>
      <c r="BC72" s="22"/>
      <c r="BD72" s="22"/>
      <c r="BE72" s="22"/>
      <c r="BF72" s="22"/>
    </row>
    <row r="73" spans="1:58" ht="16.5" customHeight="1">
      <c r="B73" s="37" t="s">
        <v>52</v>
      </c>
      <c r="C73" s="40">
        <f>+C87</f>
        <v>18983389</v>
      </c>
      <c r="D73" s="40"/>
      <c r="E73" s="40">
        <f>+E87</f>
        <v>19568688</v>
      </c>
      <c r="F73" s="40">
        <f>+F87</f>
        <v>19721544</v>
      </c>
      <c r="G73" s="40">
        <f>+G87</f>
        <v>19940759</v>
      </c>
      <c r="H73" s="40">
        <f>+H87</f>
        <v>20387361</v>
      </c>
      <c r="I73" s="39"/>
      <c r="J73" s="40">
        <f>+J87</f>
        <v>18909158</v>
      </c>
      <c r="K73" s="40">
        <f>+K87</f>
        <v>20047792</v>
      </c>
      <c r="L73" s="40">
        <f>+L87</f>
        <v>22304092</v>
      </c>
      <c r="M73" s="40">
        <f>+M87</f>
        <v>22889799</v>
      </c>
      <c r="N73" s="40">
        <f>+N87</f>
        <v>22974090</v>
      </c>
      <c r="P73" s="25">
        <f t="shared" ref="P73:V73" si="43">+P87</f>
        <v>22316545</v>
      </c>
      <c r="Q73" s="25">
        <f t="shared" si="43"/>
        <v>22416574</v>
      </c>
      <c r="R73" s="25">
        <f t="shared" si="43"/>
        <v>22378748</v>
      </c>
      <c r="S73" s="25">
        <f t="shared" si="43"/>
        <v>22482543</v>
      </c>
      <c r="T73" s="25">
        <f t="shared" si="43"/>
        <v>22786490</v>
      </c>
      <c r="U73" s="25">
        <f t="shared" ref="U73" si="44">+U87</f>
        <v>22741000</v>
      </c>
      <c r="V73" s="25">
        <f t="shared" si="43"/>
        <v>23634596</v>
      </c>
      <c r="X73" s="25">
        <f>+X87</f>
        <v>23135940</v>
      </c>
      <c r="Y73" s="25">
        <f t="shared" ref="Y73:Z73" si="45">+Y87</f>
        <v>23696395</v>
      </c>
      <c r="Z73" s="25">
        <f t="shared" si="45"/>
        <v>23875786</v>
      </c>
      <c r="AA73" s="25">
        <f t="shared" ref="AA73:AC73" si="46">+AA87</f>
        <v>24307148</v>
      </c>
      <c r="AB73" s="25"/>
      <c r="AC73" s="25">
        <f t="shared" si="46"/>
        <v>23594286</v>
      </c>
      <c r="AD73" s="25">
        <f t="shared" ref="AD73:AF73" si="47">+AD87</f>
        <v>23888563</v>
      </c>
      <c r="AE73" s="25">
        <f t="shared" si="47"/>
        <v>24279950</v>
      </c>
      <c r="AF73" s="25">
        <f t="shared" si="47"/>
        <v>25572737</v>
      </c>
      <c r="AG73" s="25">
        <f t="shared" ref="AG73" si="48">+AG87</f>
        <v>25572737</v>
      </c>
      <c r="AI73" s="25">
        <v>24943947</v>
      </c>
      <c r="AJ73" s="25">
        <v>25179773</v>
      </c>
      <c r="AK73" s="25">
        <v>26633443</v>
      </c>
      <c r="AL73" s="25">
        <v>26490257</v>
      </c>
      <c r="AM73" s="25"/>
      <c r="AN73" s="25">
        <v>27828783</v>
      </c>
      <c r="AO73" s="25">
        <v>26956418</v>
      </c>
      <c r="AP73" s="25">
        <v>27811046</v>
      </c>
      <c r="AQ73" s="25">
        <f t="shared" ref="AQ73" si="49">+AQ87</f>
        <v>26229851</v>
      </c>
      <c r="AR73" s="206"/>
      <c r="AS73" s="25">
        <f t="shared" ref="AS73:AV73" si="50">+AS87</f>
        <v>26797362</v>
      </c>
      <c r="AT73" s="25">
        <f t="shared" si="50"/>
        <v>27485409</v>
      </c>
      <c r="AU73" s="25">
        <f t="shared" si="50"/>
        <v>27820997</v>
      </c>
      <c r="AV73" s="25">
        <f t="shared" si="50"/>
        <v>28806558</v>
      </c>
      <c r="AW73" s="206"/>
      <c r="AX73" s="25">
        <f t="shared" ref="AX73:AY73" si="51">+AX87</f>
        <v>28055023</v>
      </c>
      <c r="AY73" s="25">
        <f t="shared" si="51"/>
        <v>29092609</v>
      </c>
      <c r="AZ73" s="25">
        <v>30542913</v>
      </c>
      <c r="BA73" s="25">
        <f t="shared" ref="BA73" si="52">+BA87</f>
        <v>32029904</v>
      </c>
      <c r="BB73" s="206"/>
      <c r="BC73" s="25">
        <v>31409244</v>
      </c>
      <c r="BD73" s="25">
        <v>29817865</v>
      </c>
      <c r="BE73" s="25">
        <v>29332150</v>
      </c>
      <c r="BF73" s="25">
        <v>27789414</v>
      </c>
    </row>
    <row r="74" spans="1:58" ht="16.5" customHeight="1">
      <c r="B74" s="41" t="s">
        <v>48</v>
      </c>
      <c r="C74" s="42">
        <f>+C73/C95</f>
        <v>9852.1348536196765</v>
      </c>
      <c r="D74" s="42"/>
      <c r="E74" s="42">
        <f>+E73/E95</f>
        <v>9956.998351413511</v>
      </c>
      <c r="F74" s="42">
        <f>+F73/F95</f>
        <v>10483.547116452883</v>
      </c>
      <c r="G74" s="42">
        <f>+G73/G95</f>
        <v>9830.3946797602148</v>
      </c>
      <c r="H74" s="42">
        <f>+H73/H95</f>
        <v>8521.5054797154389</v>
      </c>
      <c r="I74" s="43"/>
      <c r="J74" s="42">
        <f>+J73/J95</f>
        <v>7340.3691698530693</v>
      </c>
      <c r="K74" s="42">
        <f>+K73/K95</f>
        <v>7755.1021039723646</v>
      </c>
      <c r="L74" s="42">
        <f>+L73/L95</f>
        <v>7144.3051435966099</v>
      </c>
      <c r="M74" s="42">
        <f>+M73/M95</f>
        <v>7267.8256976570665</v>
      </c>
      <c r="N74" s="42">
        <f>+N73/N95</f>
        <v>7294.5892483497228</v>
      </c>
      <c r="P74" s="136">
        <f t="shared" ref="P74:V74" si="53">+P73/P95</f>
        <v>7383.8387347593762</v>
      </c>
      <c r="Q74" s="136">
        <f t="shared" si="53"/>
        <v>7416.9351663440702</v>
      </c>
      <c r="R74" s="136">
        <f t="shared" si="53"/>
        <v>7674.0730072184215</v>
      </c>
      <c r="S74" s="136">
        <f t="shared" si="53"/>
        <v>7709.6661694357281</v>
      </c>
      <c r="T74" s="136">
        <f t="shared" si="53"/>
        <v>7912.1130575183606</v>
      </c>
      <c r="U74" s="136">
        <f t="shared" ref="U74" si="54">+U73/U95</f>
        <v>7896.3176444035489</v>
      </c>
      <c r="V74" s="136">
        <f t="shared" si="53"/>
        <v>7876.3346008111412</v>
      </c>
      <c r="X74" s="136">
        <f>+X73/X95</f>
        <v>8032.6431130739111</v>
      </c>
      <c r="Y74" s="136">
        <f t="shared" ref="Y74:AC74" si="55">+Y73/Y95</f>
        <v>7799.3308670094066</v>
      </c>
      <c r="Z74" s="136">
        <f t="shared" si="55"/>
        <v>8130.2243697793756</v>
      </c>
      <c r="AA74" s="136">
        <f t="shared" si="55"/>
        <v>8145.8270777479893</v>
      </c>
      <c r="AB74" s="136"/>
      <c r="AC74" s="136">
        <f t="shared" si="55"/>
        <v>8485.7186015313964</v>
      </c>
      <c r="AD74" s="136">
        <f t="shared" ref="AD74:AF74" si="56">+AD73/AD95</f>
        <v>8150.8676811791993</v>
      </c>
      <c r="AE74" s="136">
        <f t="shared" si="56"/>
        <v>8169.0711868056451</v>
      </c>
      <c r="AF74" s="136">
        <f t="shared" si="56"/>
        <v>7869.1397799830756</v>
      </c>
      <c r="AG74" s="136">
        <f t="shared" ref="AG74" si="57">+AG73/AG95</f>
        <v>7869.1397799830756</v>
      </c>
      <c r="AI74" s="136">
        <v>7856.8809275574131</v>
      </c>
      <c r="AJ74" s="136">
        <v>7854.7614071317385</v>
      </c>
      <c r="AK74" s="136">
        <v>7693.0577901277002</v>
      </c>
      <c r="AL74" s="25">
        <v>8083.3461493863551</v>
      </c>
      <c r="AM74" s="25"/>
      <c r="AN74" s="136">
        <v>6846.269075307333</v>
      </c>
      <c r="AO74" s="136">
        <v>7171.3390317937919</v>
      </c>
      <c r="AP74" s="136">
        <v>7169.7541080810734</v>
      </c>
      <c r="AQ74" s="136">
        <f t="shared" ref="AQ74" si="58">+AQ73/AQ95</f>
        <v>7641.6171886380189</v>
      </c>
      <c r="AR74" s="206"/>
      <c r="AS74" s="136">
        <f t="shared" ref="AS74:AV74" si="59">+AS73/AS95</f>
        <v>7170.9947523488663</v>
      </c>
      <c r="AT74" s="136">
        <f t="shared" si="59"/>
        <v>7316.4289117755879</v>
      </c>
      <c r="AU74" s="136">
        <f t="shared" si="59"/>
        <v>7255.1026422022178</v>
      </c>
      <c r="AV74" s="136">
        <f t="shared" si="59"/>
        <v>7235.719739975284</v>
      </c>
      <c r="AW74" s="206"/>
      <c r="AX74" s="136">
        <f t="shared" ref="AX74:AY74" si="60">+AX73/AX95</f>
        <v>7485.03208249403</v>
      </c>
      <c r="AY74" s="136">
        <f t="shared" si="60"/>
        <v>7048.5331207737427</v>
      </c>
      <c r="AZ74" s="136">
        <v>6739.2853596700852</v>
      </c>
      <c r="BA74" s="136">
        <f t="shared" ref="BA74" si="61">+BA73/BA95</f>
        <v>6658.7468296536526</v>
      </c>
      <c r="BB74" s="206"/>
      <c r="BC74" s="136">
        <v>6787.8563386186661</v>
      </c>
      <c r="BD74" s="136">
        <v>7114.2622301540341</v>
      </c>
      <c r="BE74" s="136">
        <v>7235.7885025260493</v>
      </c>
      <c r="BF74" s="136">
        <v>7270.8138302743291</v>
      </c>
    </row>
    <row r="75" spans="1:58" ht="7.5" customHeight="1">
      <c r="B75" s="15"/>
      <c r="C75" s="22"/>
      <c r="D75" s="22"/>
      <c r="E75" s="22"/>
      <c r="F75" s="22"/>
      <c r="G75" s="22"/>
      <c r="H75" s="22"/>
      <c r="J75" s="22"/>
      <c r="K75" s="22"/>
      <c r="L75" s="22"/>
      <c r="M75" s="22"/>
      <c r="N75" s="22"/>
      <c r="P75" s="22"/>
      <c r="Q75" s="22"/>
      <c r="R75" s="22"/>
      <c r="S75" s="22"/>
      <c r="T75" s="22"/>
      <c r="U75" s="22"/>
      <c r="V75" s="22"/>
      <c r="X75" s="22"/>
      <c r="Y75" s="22"/>
      <c r="Z75" s="22"/>
      <c r="AA75" s="22"/>
      <c r="AB75" s="22"/>
      <c r="AC75" s="22"/>
      <c r="AD75" s="22"/>
      <c r="AE75" s="22"/>
      <c r="AF75" s="22"/>
      <c r="AG75" s="22"/>
      <c r="AI75" s="22"/>
      <c r="AJ75" s="22"/>
      <c r="AK75" s="22"/>
      <c r="AL75" s="136"/>
      <c r="AM75" s="25"/>
      <c r="AN75" s="22"/>
      <c r="AO75" s="22"/>
      <c r="AP75" s="22"/>
      <c r="AQ75" s="22"/>
      <c r="AR75" s="206"/>
      <c r="AS75" s="22"/>
      <c r="AT75" s="22"/>
      <c r="AU75" s="22"/>
      <c r="AV75" s="22"/>
      <c r="AW75" s="206"/>
      <c r="AX75" s="22"/>
      <c r="AY75" s="22"/>
      <c r="AZ75" s="22"/>
      <c r="BA75" s="22"/>
      <c r="BB75" s="206"/>
      <c r="BC75" s="22"/>
      <c r="BD75" s="22"/>
      <c r="BE75" s="22"/>
      <c r="BF75" s="22"/>
    </row>
    <row r="76" spans="1:58" ht="20.25" customHeight="1">
      <c r="B76" s="24" t="s">
        <v>59</v>
      </c>
      <c r="C76" s="25">
        <f>+C70+C73</f>
        <v>27984896</v>
      </c>
      <c r="D76" s="25"/>
      <c r="E76" s="25">
        <f>+E70+E73</f>
        <v>30798667</v>
      </c>
      <c r="F76" s="25">
        <f>+F70+F73</f>
        <v>31438743</v>
      </c>
      <c r="G76" s="25">
        <f>+G70+G73</f>
        <v>31799673</v>
      </c>
      <c r="H76" s="25">
        <f>+H70+H73</f>
        <v>34299484</v>
      </c>
      <c r="J76" s="25">
        <f>+J70+J73</f>
        <v>34136094</v>
      </c>
      <c r="K76" s="25">
        <f>+K70+K73</f>
        <v>35244308</v>
      </c>
      <c r="L76" s="25">
        <f>+L70+L73</f>
        <v>40107016</v>
      </c>
      <c r="M76" s="25">
        <f>+M70+M73</f>
        <v>41775013</v>
      </c>
      <c r="N76" s="25">
        <f>+N70+N73</f>
        <v>42080401</v>
      </c>
      <c r="P76" s="25">
        <f t="shared" ref="P76:V76" si="62">+P70+P73</f>
        <v>41561107</v>
      </c>
      <c r="Q76" s="25">
        <f t="shared" si="62"/>
        <v>41871652</v>
      </c>
      <c r="R76" s="25">
        <f t="shared" si="62"/>
        <v>41943681</v>
      </c>
      <c r="S76" s="25">
        <f t="shared" si="62"/>
        <v>42241655</v>
      </c>
      <c r="T76" s="25">
        <f t="shared" si="62"/>
        <v>42536797</v>
      </c>
      <c r="U76" s="25">
        <f t="shared" ref="U76" si="63">+U70+U73</f>
        <v>42487715</v>
      </c>
      <c r="V76" s="25">
        <f t="shared" si="62"/>
        <v>44749574</v>
      </c>
      <c r="X76" s="25">
        <f>+X70+X73</f>
        <v>47016433</v>
      </c>
      <c r="Y76" s="25">
        <f t="shared" ref="Y76:Z76" si="64">+Y70+Y73</f>
        <v>47714519</v>
      </c>
      <c r="Z76" s="25">
        <f t="shared" si="64"/>
        <v>47163880</v>
      </c>
      <c r="AA76" s="25">
        <f t="shared" ref="AA76:AC76" si="65">+AA70+AA73</f>
        <v>47567948</v>
      </c>
      <c r="AB76" s="25"/>
      <c r="AC76" s="25">
        <f t="shared" si="65"/>
        <v>45723958</v>
      </c>
      <c r="AD76" s="25">
        <f t="shared" ref="AD76:AF76" si="66">+AD70+AD73</f>
        <v>46769908</v>
      </c>
      <c r="AE76" s="25">
        <f t="shared" si="66"/>
        <v>46906935</v>
      </c>
      <c r="AF76" s="25">
        <f t="shared" si="66"/>
        <v>48714353</v>
      </c>
      <c r="AG76" s="25">
        <f t="shared" ref="AG76" si="67">+AG70+AG73</f>
        <v>48647882</v>
      </c>
      <c r="AI76" s="25">
        <v>49210806</v>
      </c>
      <c r="AJ76" s="25">
        <v>51285426</v>
      </c>
      <c r="AK76" s="25">
        <v>52739611</v>
      </c>
      <c r="AL76" s="25">
        <v>50825141</v>
      </c>
      <c r="AM76" s="25"/>
      <c r="AN76" s="25">
        <v>55779735</v>
      </c>
      <c r="AO76" s="25">
        <v>53912319</v>
      </c>
      <c r="AP76" s="25">
        <v>54272004</v>
      </c>
      <c r="AQ76" s="25">
        <f t="shared" ref="AQ76" si="68">+AQ70+AQ73</f>
        <v>50773567</v>
      </c>
      <c r="AR76" s="206"/>
      <c r="AS76" s="25">
        <f t="shared" ref="AS76:AV76" si="69">+AS70+AS73</f>
        <v>52829868</v>
      </c>
      <c r="AT76" s="25">
        <f t="shared" si="69"/>
        <v>52551734</v>
      </c>
      <c r="AU76" s="25">
        <f t="shared" si="69"/>
        <v>53183135</v>
      </c>
      <c r="AV76" s="25">
        <f t="shared" si="69"/>
        <v>52589344</v>
      </c>
      <c r="AW76" s="206"/>
      <c r="AX76" s="25">
        <f t="shared" ref="AX76:AY76" si="70">+AX70+AX73</f>
        <v>52018469</v>
      </c>
      <c r="AY76" s="25">
        <f t="shared" si="70"/>
        <v>51303900</v>
      </c>
      <c r="AZ76" s="25">
        <v>53859278</v>
      </c>
      <c r="BA76" s="25">
        <f t="shared" ref="BA76" si="71">+BA70+BA73</f>
        <v>56941068</v>
      </c>
      <c r="BB76" s="206"/>
      <c r="BC76" s="25">
        <v>57112838</v>
      </c>
      <c r="BD76" s="25">
        <v>52323245</v>
      </c>
      <c r="BE76" s="25">
        <v>52312696</v>
      </c>
      <c r="BF76" s="25">
        <v>49402341</v>
      </c>
    </row>
    <row r="77" spans="1:58" ht="7.5" customHeight="1">
      <c r="C77" s="30"/>
      <c r="D77" s="30"/>
      <c r="E77" s="30"/>
      <c r="F77" s="30"/>
      <c r="G77" s="30"/>
      <c r="H77" s="30"/>
      <c r="J77" s="30"/>
      <c r="K77" s="30"/>
      <c r="L77" s="30"/>
      <c r="M77" s="30"/>
      <c r="N77" s="30"/>
      <c r="P77" s="29"/>
      <c r="Q77" s="29"/>
      <c r="R77" s="29"/>
      <c r="S77" s="29"/>
      <c r="T77" s="29"/>
      <c r="U77" s="29"/>
      <c r="V77" s="29"/>
      <c r="X77" s="29"/>
      <c r="Y77" s="29"/>
      <c r="Z77" s="29"/>
      <c r="AA77" s="29"/>
      <c r="AB77" s="29"/>
      <c r="AC77" s="29"/>
      <c r="AD77" s="29"/>
      <c r="AE77" s="29"/>
      <c r="AF77" s="29"/>
      <c r="AG77" s="29"/>
      <c r="AI77" s="29"/>
      <c r="AJ77" s="29"/>
      <c r="AK77" s="29"/>
      <c r="AL77" s="25"/>
      <c r="AM77" s="25"/>
      <c r="AN77" s="29"/>
      <c r="AO77" s="29"/>
      <c r="AP77" s="29"/>
      <c r="AQ77" s="153"/>
      <c r="AR77" s="206"/>
      <c r="AS77" s="153"/>
      <c r="AT77" s="153"/>
      <c r="AU77" s="153"/>
      <c r="AV77" s="153"/>
      <c r="AW77" s="206"/>
      <c r="AX77" s="153"/>
      <c r="AY77" s="153"/>
      <c r="AZ77" s="29"/>
      <c r="BA77" s="29"/>
      <c r="BB77" s="206"/>
      <c r="BC77" s="29"/>
      <c r="BD77" s="29"/>
      <c r="BE77" s="29"/>
      <c r="BF77" s="29"/>
    </row>
    <row r="78" spans="1:58" s="10" customFormat="1" ht="16.5" customHeight="1">
      <c r="B78" s="15" t="s">
        <v>150</v>
      </c>
      <c r="C78" s="29">
        <v>51510</v>
      </c>
      <c r="D78" s="29"/>
      <c r="E78" s="29">
        <v>51481</v>
      </c>
      <c r="F78" s="29">
        <v>51481</v>
      </c>
      <c r="G78" s="29">
        <v>51481</v>
      </c>
      <c r="H78" s="29">
        <v>51510</v>
      </c>
      <c r="I78" s="11"/>
      <c r="J78" s="29">
        <v>51481</v>
      </c>
      <c r="K78" s="29">
        <v>50744</v>
      </c>
      <c r="L78" s="29">
        <v>50744</v>
      </c>
      <c r="M78" s="110">
        <v>51510</v>
      </c>
      <c r="N78" s="111">
        <v>51510</v>
      </c>
      <c r="P78" s="111">
        <v>51510</v>
      </c>
      <c r="Q78" s="111">
        <v>51510</v>
      </c>
      <c r="R78" s="111">
        <v>51510</v>
      </c>
      <c r="S78" s="111">
        <v>51510</v>
      </c>
      <c r="T78" s="111">
        <v>51510</v>
      </c>
      <c r="U78" s="111">
        <v>51510</v>
      </c>
      <c r="V78" s="111">
        <v>53933</v>
      </c>
      <c r="X78" s="111">
        <v>53933</v>
      </c>
      <c r="Y78" s="111">
        <v>53933</v>
      </c>
      <c r="Z78" s="111">
        <v>53933</v>
      </c>
      <c r="AA78" s="111">
        <v>53933</v>
      </c>
      <c r="AB78" s="111"/>
      <c r="AC78" s="111">
        <v>53933</v>
      </c>
      <c r="AD78" s="111">
        <v>53933</v>
      </c>
      <c r="AE78" s="111">
        <v>53933</v>
      </c>
      <c r="AF78" s="111">
        <v>53933</v>
      </c>
      <c r="AG78" s="111">
        <v>53933</v>
      </c>
      <c r="AI78" s="111">
        <v>53933</v>
      </c>
      <c r="AJ78" s="111">
        <v>53933</v>
      </c>
      <c r="AK78" s="111">
        <v>53933</v>
      </c>
      <c r="AL78" s="111">
        <v>53933</v>
      </c>
      <c r="AM78" s="25"/>
      <c r="AN78" s="111">
        <v>53933</v>
      </c>
      <c r="AO78" s="111">
        <v>53933</v>
      </c>
      <c r="AP78" s="111">
        <v>53933</v>
      </c>
      <c r="AQ78" s="118">
        <v>53933</v>
      </c>
      <c r="AR78" s="206"/>
      <c r="AS78" s="118">
        <v>53933</v>
      </c>
      <c r="AT78" s="118">
        <v>54697</v>
      </c>
      <c r="AU78" s="118">
        <v>54697</v>
      </c>
      <c r="AV78" s="118">
        <v>54697</v>
      </c>
      <c r="AW78" s="206"/>
      <c r="AX78" s="118">
        <v>54697</v>
      </c>
      <c r="AY78" s="118">
        <v>54697</v>
      </c>
      <c r="AZ78" s="111">
        <v>54697</v>
      </c>
      <c r="BA78" s="111">
        <v>54697</v>
      </c>
      <c r="BB78" s="206"/>
      <c r="BC78" s="111">
        <v>54697</v>
      </c>
      <c r="BD78" s="111">
        <v>54697</v>
      </c>
      <c r="BE78" s="111">
        <v>54697</v>
      </c>
      <c r="BF78" s="111">
        <v>54697</v>
      </c>
    </row>
    <row r="79" spans="1:58" s="10" customFormat="1" ht="16.5" customHeight="1">
      <c r="B79" s="15" t="s">
        <v>139</v>
      </c>
      <c r="C79" s="29">
        <v>667459</v>
      </c>
      <c r="D79" s="29"/>
      <c r="E79" s="29">
        <v>687062</v>
      </c>
      <c r="F79" s="29">
        <v>697292</v>
      </c>
      <c r="G79" s="29">
        <v>680690</v>
      </c>
      <c r="H79" s="29">
        <v>680051</v>
      </c>
      <c r="I79" s="11"/>
      <c r="J79" s="29">
        <v>689585</v>
      </c>
      <c r="K79" s="29">
        <v>681444</v>
      </c>
      <c r="L79" s="29">
        <v>680280</v>
      </c>
      <c r="M79" s="110">
        <v>680218</v>
      </c>
      <c r="N79" s="111">
        <v>680218</v>
      </c>
      <c r="P79" s="111">
        <v>680218</v>
      </c>
      <c r="Q79" s="111">
        <v>680218</v>
      </c>
      <c r="R79" s="111">
        <v>680218</v>
      </c>
      <c r="S79" s="111">
        <v>680218</v>
      </c>
      <c r="T79" s="111">
        <v>680218</v>
      </c>
      <c r="U79" s="111">
        <v>680218</v>
      </c>
      <c r="V79" s="111">
        <v>1354759</v>
      </c>
      <c r="X79" s="111">
        <v>1354759</v>
      </c>
      <c r="Y79" s="111">
        <v>1354759</v>
      </c>
      <c r="Z79" s="111">
        <v>1354759</v>
      </c>
      <c r="AA79" s="111">
        <v>1354759</v>
      </c>
      <c r="AB79" s="111"/>
      <c r="AC79" s="111">
        <v>1354759</v>
      </c>
      <c r="AD79" s="111">
        <v>1354759</v>
      </c>
      <c r="AE79" s="111">
        <v>1354759</v>
      </c>
      <c r="AF79" s="111">
        <v>1354759</v>
      </c>
      <c r="AG79" s="111">
        <v>1354759</v>
      </c>
      <c r="AI79" s="111">
        <v>1354759</v>
      </c>
      <c r="AJ79" s="111">
        <v>1354759</v>
      </c>
      <c r="AK79" s="111">
        <v>1354759</v>
      </c>
      <c r="AL79" s="111">
        <v>1354759</v>
      </c>
      <c r="AM79" s="25"/>
      <c r="AN79" s="111">
        <v>1354759</v>
      </c>
      <c r="AO79" s="111">
        <v>1354759</v>
      </c>
      <c r="AP79" s="111">
        <v>1354759</v>
      </c>
      <c r="AQ79" s="118">
        <v>1354759</v>
      </c>
      <c r="AR79" s="206"/>
      <c r="AS79" s="118">
        <v>1354759</v>
      </c>
      <c r="AT79" s="118">
        <v>1503373</v>
      </c>
      <c r="AU79" s="118">
        <v>1503373</v>
      </c>
      <c r="AV79" s="118">
        <v>1503373</v>
      </c>
      <c r="AW79" s="206"/>
      <c r="AX79" s="118">
        <v>1503373</v>
      </c>
      <c r="AY79" s="118">
        <v>1503373</v>
      </c>
      <c r="AZ79" s="111">
        <v>1503373</v>
      </c>
      <c r="BA79" s="111">
        <v>1503373</v>
      </c>
      <c r="BB79" s="206"/>
      <c r="BC79" s="111">
        <v>1503373</v>
      </c>
      <c r="BD79" s="111">
        <v>1503373</v>
      </c>
      <c r="BE79" s="111">
        <v>1503373</v>
      </c>
      <c r="BF79" s="111">
        <v>1503373</v>
      </c>
    </row>
    <row r="80" spans="1:58" s="10" customFormat="1" ht="16.5" customHeight="1">
      <c r="B80" s="15" t="s">
        <v>353</v>
      </c>
      <c r="C80" s="29"/>
      <c r="D80" s="29"/>
      <c r="E80" s="29"/>
      <c r="F80" s="29"/>
      <c r="G80" s="29"/>
      <c r="H80" s="29"/>
      <c r="I80" s="11"/>
      <c r="J80" s="29"/>
      <c r="K80" s="29"/>
      <c r="L80" s="29"/>
      <c r="M80" s="110"/>
      <c r="N80" s="111"/>
      <c r="P80" s="111"/>
      <c r="Q80" s="111"/>
      <c r="R80" s="111"/>
      <c r="S80" s="111"/>
      <c r="T80" s="111"/>
      <c r="U80" s="111"/>
      <c r="V80" s="111"/>
      <c r="X80" s="111"/>
      <c r="Y80" s="111"/>
      <c r="Z80" s="111"/>
      <c r="AA80" s="111"/>
      <c r="AB80" s="111"/>
      <c r="AC80" s="111"/>
      <c r="AD80" s="111"/>
      <c r="AE80" s="111"/>
      <c r="AF80" s="111"/>
      <c r="AG80" s="111"/>
      <c r="AI80" s="111"/>
      <c r="AJ80" s="111"/>
      <c r="AK80" s="111"/>
      <c r="AL80" s="111"/>
      <c r="AM80" s="25"/>
      <c r="AN80" s="111"/>
      <c r="AO80" s="111"/>
      <c r="AP80" s="111"/>
      <c r="AQ80" s="118"/>
      <c r="AR80" s="206"/>
      <c r="AS80" s="118"/>
      <c r="AT80" s="118"/>
      <c r="AU80" s="118"/>
      <c r="AV80" s="118"/>
      <c r="AW80" s="206"/>
      <c r="AX80" s="118"/>
      <c r="AY80" s="118"/>
      <c r="AZ80" s="111"/>
      <c r="BA80" s="111"/>
      <c r="BB80" s="206"/>
      <c r="BC80" s="111">
        <v>-11611</v>
      </c>
      <c r="BD80" s="111">
        <v>-13392</v>
      </c>
      <c r="BE80" s="111">
        <v>-34094</v>
      </c>
      <c r="BF80" s="111">
        <v>-68994</v>
      </c>
    </row>
    <row r="81" spans="2:58" s="10" customFormat="1" ht="16.5" customHeight="1">
      <c r="B81" s="15" t="s">
        <v>62</v>
      </c>
      <c r="C81" s="29">
        <v>1143369</v>
      </c>
      <c r="D81" s="29"/>
      <c r="E81" s="29">
        <v>1574666</v>
      </c>
      <c r="F81" s="29">
        <v>1320750</v>
      </c>
      <c r="G81" s="29">
        <v>1342775</v>
      </c>
      <c r="H81" s="29">
        <v>1959674</v>
      </c>
      <c r="I81" s="11"/>
      <c r="J81" s="29">
        <v>832993</v>
      </c>
      <c r="K81" s="29">
        <v>1283551</v>
      </c>
      <c r="L81" s="29">
        <v>1657585</v>
      </c>
      <c r="M81" s="29">
        <f>1962250+12828</f>
        <v>1975078</v>
      </c>
      <c r="N81" s="111">
        <v>2028667</v>
      </c>
      <c r="P81" s="111">
        <v>1684719</v>
      </c>
      <c r="Q81" s="111">
        <v>1684812</v>
      </c>
      <c r="R81" s="111">
        <v>1487562</v>
      </c>
      <c r="S81" s="111">
        <f>1653819-1</f>
        <v>1653818</v>
      </c>
      <c r="T81" s="111">
        <v>1320770</v>
      </c>
      <c r="U81" s="111">
        <v>1656385</v>
      </c>
      <c r="V81" s="111">
        <v>1987756</v>
      </c>
      <c r="X81" s="111">
        <v>1709366</v>
      </c>
      <c r="Y81" s="111">
        <v>2152249</v>
      </c>
      <c r="Z81" s="111">
        <v>1954715</v>
      </c>
      <c r="AA81" s="111">
        <v>2159131</v>
      </c>
      <c r="AB81" s="111"/>
      <c r="AC81" s="111">
        <v>1608320</v>
      </c>
      <c r="AD81" s="111">
        <v>1818377</v>
      </c>
      <c r="AE81" s="111">
        <v>1767936</v>
      </c>
      <c r="AF81" s="111">
        <v>2375778</v>
      </c>
      <c r="AG81" s="111">
        <v>2375778</v>
      </c>
      <c r="AI81" s="111">
        <v>2342892</v>
      </c>
      <c r="AJ81" s="111">
        <v>2334625</v>
      </c>
      <c r="AK81" s="111">
        <v>2856255</v>
      </c>
      <c r="AL81" s="111">
        <v>2364976</v>
      </c>
      <c r="AM81" s="25"/>
      <c r="AN81" s="111">
        <v>3322310</v>
      </c>
      <c r="AO81" s="111">
        <v>2840869</v>
      </c>
      <c r="AP81" s="111">
        <v>3344086</v>
      </c>
      <c r="AQ81" s="118">
        <v>2591296</v>
      </c>
      <c r="AR81" s="206"/>
      <c r="AS81" s="118">
        <v>3203635</v>
      </c>
      <c r="AT81" s="118">
        <v>3232673</v>
      </c>
      <c r="AU81" s="118">
        <v>3278415</v>
      </c>
      <c r="AV81" s="118">
        <v>3996628</v>
      </c>
      <c r="AW81" s="206"/>
      <c r="AX81" s="118">
        <v>4425781</v>
      </c>
      <c r="AY81" s="118">
        <v>4829855</v>
      </c>
      <c r="AZ81" s="111">
        <v>5537316</v>
      </c>
      <c r="BA81" s="111">
        <v>6303067</v>
      </c>
      <c r="BB81" s="206"/>
      <c r="BC81" s="111">
        <v>6341481</v>
      </c>
      <c r="BD81" s="111">
        <v>5232795</v>
      </c>
      <c r="BE81" s="111">
        <v>4607952</v>
      </c>
      <c r="BF81" s="111">
        <v>3770085</v>
      </c>
    </row>
    <row r="82" spans="2:58" s="10" customFormat="1" ht="16.5" customHeight="1">
      <c r="B82" s="15" t="s">
        <v>35</v>
      </c>
      <c r="C82" s="29">
        <v>2331912</v>
      </c>
      <c r="D82" s="29"/>
      <c r="E82" s="30">
        <v>2430710</v>
      </c>
      <c r="F82" s="30">
        <v>2423797</v>
      </c>
      <c r="G82" s="30">
        <v>2424948</v>
      </c>
      <c r="H82" s="30">
        <f>2423257+7358</f>
        <v>2430615</v>
      </c>
      <c r="I82" s="11"/>
      <c r="J82" s="30">
        <v>2543398</v>
      </c>
      <c r="K82" s="30">
        <v>2573413</v>
      </c>
      <c r="L82" s="30">
        <v>2554541</v>
      </c>
      <c r="M82" s="29">
        <f>2459858+147001</f>
        <v>2606859</v>
      </c>
      <c r="N82" s="111">
        <v>2606859</v>
      </c>
      <c r="P82" s="111">
        <v>2743765</v>
      </c>
      <c r="Q82" s="111">
        <v>2743765</v>
      </c>
      <c r="R82" s="111">
        <v>2743765</v>
      </c>
      <c r="S82" s="111">
        <v>2743765</v>
      </c>
      <c r="T82" s="111">
        <v>2743765</v>
      </c>
      <c r="U82" s="111">
        <v>2743765</v>
      </c>
      <c r="V82" s="111">
        <v>2743764</v>
      </c>
      <c r="X82" s="111">
        <v>2829844</v>
      </c>
      <c r="Y82" s="111">
        <v>2829844</v>
      </c>
      <c r="Z82" s="111">
        <v>2829845</v>
      </c>
      <c r="AA82" s="111">
        <v>2829844</v>
      </c>
      <c r="AB82" s="111"/>
      <c r="AC82" s="111">
        <v>2829845</v>
      </c>
      <c r="AD82" s="111">
        <v>3001515</v>
      </c>
      <c r="AE82" s="111">
        <v>3001515</v>
      </c>
      <c r="AF82" s="111">
        <v>3001515</v>
      </c>
      <c r="AG82" s="111">
        <v>3001515</v>
      </c>
      <c r="AI82" s="111">
        <v>3513161</v>
      </c>
      <c r="AJ82" s="111">
        <v>3513161</v>
      </c>
      <c r="AK82" s="111">
        <v>3513161</v>
      </c>
      <c r="AL82" s="111">
        <v>3513161</v>
      </c>
      <c r="AM82" s="25"/>
      <c r="AN82" s="111">
        <v>3673583</v>
      </c>
      <c r="AO82" s="111">
        <v>3673583</v>
      </c>
      <c r="AP82" s="111">
        <v>3673583</v>
      </c>
      <c r="AQ82" s="118">
        <v>3673583</v>
      </c>
      <c r="AR82" s="206"/>
      <c r="AS82" s="118">
        <v>3339623</v>
      </c>
      <c r="AT82" s="118">
        <v>3339623</v>
      </c>
      <c r="AU82" s="118">
        <v>3339623</v>
      </c>
      <c r="AV82" s="118">
        <v>3339623</v>
      </c>
      <c r="AW82" s="206"/>
      <c r="AX82" s="118">
        <v>3241099</v>
      </c>
      <c r="AY82" s="118">
        <v>3241099</v>
      </c>
      <c r="AZ82" s="111">
        <v>3241099</v>
      </c>
      <c r="BA82" s="111">
        <v>3241099</v>
      </c>
      <c r="BB82" s="206"/>
      <c r="BC82" s="111">
        <v>3093302</v>
      </c>
      <c r="BD82" s="111">
        <v>3093389</v>
      </c>
      <c r="BE82" s="111">
        <v>3094102</v>
      </c>
      <c r="BF82" s="111">
        <v>3094653</v>
      </c>
    </row>
    <row r="83" spans="2:58" s="10" customFormat="1" ht="16.5" customHeight="1">
      <c r="B83" s="15" t="s">
        <v>86</v>
      </c>
      <c r="C83" s="29">
        <v>0</v>
      </c>
      <c r="D83" s="29"/>
      <c r="E83" s="30">
        <v>-20539</v>
      </c>
      <c r="F83" s="30">
        <v>-19793</v>
      </c>
      <c r="G83" s="30">
        <v>-19793</v>
      </c>
      <c r="H83" s="30">
        <v>-20227</v>
      </c>
      <c r="I83" s="11"/>
      <c r="J83" s="30">
        <v>-21627</v>
      </c>
      <c r="K83" s="30">
        <v>-19792</v>
      </c>
      <c r="L83" s="30">
        <v>259087</v>
      </c>
      <c r="M83" s="29">
        <v>241008</v>
      </c>
      <c r="N83" s="29">
        <f>421098+37788</f>
        <v>458886</v>
      </c>
      <c r="P83" s="111">
        <v>241008</v>
      </c>
      <c r="Q83" s="111">
        <f>535479-1</f>
        <v>535478</v>
      </c>
      <c r="R83" s="111">
        <v>241008</v>
      </c>
      <c r="S83" s="111">
        <v>365934</v>
      </c>
      <c r="T83" s="111">
        <v>241008</v>
      </c>
      <c r="U83" s="111">
        <f>154490-1</f>
        <v>154489</v>
      </c>
      <c r="V83" s="111">
        <f>-59093+37788</f>
        <v>-21305</v>
      </c>
      <c r="X83" s="111">
        <v>173072</v>
      </c>
      <c r="Y83" s="111">
        <v>-52568</v>
      </c>
      <c r="Z83" s="111">
        <v>-23313</v>
      </c>
      <c r="AA83" s="111">
        <v>-7225</v>
      </c>
      <c r="AB83" s="111"/>
      <c r="AC83" s="111">
        <v>-167939</v>
      </c>
      <c r="AD83" s="111">
        <v>-164106</v>
      </c>
      <c r="AE83" s="111">
        <v>-165908</v>
      </c>
      <c r="AF83" s="111">
        <v>-178650</v>
      </c>
      <c r="AG83" s="111">
        <v>-178650</v>
      </c>
      <c r="AI83" s="111">
        <v>-143411</v>
      </c>
      <c r="AJ83" s="111">
        <v>-134952</v>
      </c>
      <c r="AK83" s="111">
        <v>-129308</v>
      </c>
      <c r="AL83" s="111">
        <v>-165142</v>
      </c>
      <c r="AM83" s="25"/>
      <c r="AN83" s="111">
        <v>-138182</v>
      </c>
      <c r="AO83" s="111">
        <v>-146718</v>
      </c>
      <c r="AP83" s="111">
        <v>-141453</v>
      </c>
      <c r="AQ83" s="118">
        <v>-143779</v>
      </c>
      <c r="AR83" s="206"/>
      <c r="AS83" s="118">
        <v>-110978</v>
      </c>
      <c r="AT83" s="118">
        <v>-88036</v>
      </c>
      <c r="AU83" s="118">
        <v>-113374</v>
      </c>
      <c r="AV83" s="118">
        <v>-111432</v>
      </c>
      <c r="AW83" s="206"/>
      <c r="AX83" s="118">
        <v>-84876</v>
      </c>
      <c r="AY83" s="118">
        <v>-61913</v>
      </c>
      <c r="AZ83" s="270">
        <v>-185871</v>
      </c>
      <c r="BA83" s="111">
        <v>-151350</v>
      </c>
      <c r="BB83" s="206"/>
      <c r="BC83" s="111">
        <v>-147469</v>
      </c>
      <c r="BD83" s="111">
        <v>-180388</v>
      </c>
      <c r="BE83" s="111">
        <v>-152874</v>
      </c>
      <c r="BF83" s="111">
        <v>-133226</v>
      </c>
    </row>
    <row r="84" spans="2:58" ht="16.5" customHeight="1">
      <c r="B84" s="23" t="s">
        <v>140</v>
      </c>
      <c r="C84" s="29">
        <v>8906252</v>
      </c>
      <c r="D84" s="29"/>
      <c r="E84" s="29">
        <v>8845095</v>
      </c>
      <c r="F84" s="29">
        <v>8845095</v>
      </c>
      <c r="G84" s="29">
        <v>8845095</v>
      </c>
      <c r="H84" s="29">
        <f>8611302-7358</f>
        <v>8603944</v>
      </c>
      <c r="J84" s="29">
        <v>9242878</v>
      </c>
      <c r="K84" s="29">
        <v>9242878</v>
      </c>
      <c r="L84" s="29">
        <v>9242878</v>
      </c>
      <c r="M84" s="29">
        <f>9096767-159829</f>
        <v>8936938</v>
      </c>
      <c r="N84" s="29">
        <f>8814764-37788</f>
        <v>8776976</v>
      </c>
      <c r="P84" s="111">
        <v>9007749</v>
      </c>
      <c r="Q84" s="111">
        <v>8870137</v>
      </c>
      <c r="R84" s="111">
        <v>9007749</v>
      </c>
      <c r="S84" s="111">
        <v>8870137</v>
      </c>
      <c r="T84" s="111">
        <v>9173922</v>
      </c>
      <c r="U84" s="111">
        <v>9053460</v>
      </c>
      <c r="V84" s="111">
        <f>8936243-37788</f>
        <v>8898455</v>
      </c>
      <c r="X84" s="111">
        <v>9052809</v>
      </c>
      <c r="Y84" s="111">
        <v>9052810</v>
      </c>
      <c r="Z84" s="111">
        <v>9053167</v>
      </c>
      <c r="AA84" s="111">
        <v>9045006</v>
      </c>
      <c r="AB84" s="111"/>
      <c r="AC84" s="111">
        <v>9654742</v>
      </c>
      <c r="AD84" s="111">
        <v>9215320</v>
      </c>
      <c r="AE84" s="111">
        <v>9199945</v>
      </c>
      <c r="AF84" s="111">
        <v>9147229</v>
      </c>
      <c r="AG84" s="111">
        <v>9147229</v>
      </c>
      <c r="AI84" s="111">
        <v>9007211</v>
      </c>
      <c r="AJ84" s="111">
        <v>9023506</v>
      </c>
      <c r="AK84" s="111">
        <v>9023542</v>
      </c>
      <c r="AL84" s="111">
        <v>9022034</v>
      </c>
      <c r="AM84" s="111"/>
      <c r="AN84" s="111">
        <v>9253570</v>
      </c>
      <c r="AO84" s="111">
        <v>9253606</v>
      </c>
      <c r="AP84" s="111">
        <v>9253642</v>
      </c>
      <c r="AQ84" s="118">
        <v>9218462</v>
      </c>
      <c r="AR84" s="206"/>
      <c r="AS84" s="118">
        <v>9124738</v>
      </c>
      <c r="AT84" s="118">
        <v>9124775</v>
      </c>
      <c r="AU84" s="118">
        <v>9057776</v>
      </c>
      <c r="AV84" s="118">
        <v>9083552</v>
      </c>
      <c r="AW84" s="206"/>
      <c r="AX84" s="118">
        <v>9337215</v>
      </c>
      <c r="AY84" s="118">
        <v>9337903</v>
      </c>
      <c r="AZ84" s="270">
        <v>9337688</v>
      </c>
      <c r="BA84" s="111">
        <v>9218971</v>
      </c>
      <c r="BB84" s="206"/>
      <c r="BC84" s="111">
        <v>9753962</v>
      </c>
      <c r="BD84" s="111">
        <v>9752724</v>
      </c>
      <c r="BE84" s="111">
        <v>9751781</v>
      </c>
      <c r="BF84" s="111">
        <v>9750839</v>
      </c>
    </row>
    <row r="85" spans="2:58" ht="16.5" customHeight="1">
      <c r="B85" s="15" t="s">
        <v>151</v>
      </c>
      <c r="C85" s="30">
        <v>0</v>
      </c>
      <c r="D85" s="30"/>
      <c r="E85" s="30">
        <v>158313</v>
      </c>
      <c r="F85" s="30">
        <v>573250</v>
      </c>
      <c r="G85" s="30">
        <v>678618</v>
      </c>
      <c r="H85" s="30">
        <v>521133</v>
      </c>
      <c r="J85" s="30">
        <v>51649</v>
      </c>
      <c r="K85" s="30">
        <v>293490</v>
      </c>
      <c r="L85" s="30">
        <v>376276</v>
      </c>
      <c r="M85" s="110">
        <v>301000</v>
      </c>
      <c r="N85" s="29">
        <f>326829+1</f>
        <v>326830</v>
      </c>
      <c r="P85" s="111">
        <v>111905</v>
      </c>
      <c r="Q85" s="111">
        <v>105929</v>
      </c>
      <c r="R85" s="111">
        <v>252302</v>
      </c>
      <c r="S85" s="111">
        <v>252150</v>
      </c>
      <c r="T85" s="111">
        <v>389061</v>
      </c>
      <c r="U85" s="111">
        <v>409717</v>
      </c>
      <c r="V85" s="111">
        <v>589466</v>
      </c>
      <c r="X85" s="111">
        <v>120680</v>
      </c>
      <c r="Y85" s="111">
        <v>226494</v>
      </c>
      <c r="Z85" s="111">
        <v>566393</v>
      </c>
      <c r="AA85" s="111">
        <v>610659</v>
      </c>
      <c r="AB85" s="111"/>
      <c r="AC85" s="111">
        <v>109465</v>
      </c>
      <c r="AD85" s="111">
        <v>228574</v>
      </c>
      <c r="AE85" s="111">
        <v>494293</v>
      </c>
      <c r="AF85" s="111">
        <v>671327</v>
      </c>
      <c r="AG85" s="111">
        <v>671327</v>
      </c>
      <c r="AI85" s="111">
        <v>144233</v>
      </c>
      <c r="AJ85" s="111">
        <v>264816</v>
      </c>
      <c r="AK85" s="111">
        <v>566216</v>
      </c>
      <c r="AL85" s="111">
        <v>689565</v>
      </c>
      <c r="AM85" s="25"/>
      <c r="AN85" s="111">
        <v>-32189</v>
      </c>
      <c r="AO85" s="111">
        <v>-22582</v>
      </c>
      <c r="AP85" s="111">
        <v>-15726</v>
      </c>
      <c r="AQ85" s="118">
        <v>-100013</v>
      </c>
      <c r="AR85" s="206"/>
      <c r="AS85" s="118">
        <v>73889</v>
      </c>
      <c r="AT85" s="118">
        <v>285381</v>
      </c>
      <c r="AU85" s="118">
        <v>496760</v>
      </c>
      <c r="AV85" s="118">
        <v>589799</v>
      </c>
      <c r="AW85" s="206"/>
      <c r="AX85" s="118">
        <v>161408</v>
      </c>
      <c r="AY85" s="118">
        <v>390841</v>
      </c>
      <c r="AZ85" s="270">
        <v>582817</v>
      </c>
      <c r="BA85" s="111">
        <v>881424</v>
      </c>
      <c r="BB85" s="206"/>
      <c r="BC85" s="111">
        <v>405958</v>
      </c>
      <c r="BD85" s="111">
        <v>718498</v>
      </c>
      <c r="BE85" s="111">
        <v>908270</v>
      </c>
      <c r="BF85" s="111">
        <v>915503</v>
      </c>
    </row>
    <row r="86" spans="2:58" ht="7.5" customHeight="1">
      <c r="B86" s="15"/>
      <c r="C86" s="30"/>
      <c r="D86" s="30"/>
      <c r="E86" s="30"/>
      <c r="F86" s="30"/>
      <c r="G86" s="30"/>
      <c r="H86" s="30"/>
      <c r="J86" s="30"/>
      <c r="K86" s="30"/>
      <c r="L86" s="30"/>
      <c r="M86" s="30"/>
      <c r="N86" s="30"/>
      <c r="P86" s="29"/>
      <c r="Q86" s="29"/>
      <c r="R86" s="29"/>
      <c r="S86" s="29"/>
      <c r="T86" s="29"/>
      <c r="U86" s="29"/>
      <c r="V86" s="29"/>
      <c r="X86" s="29"/>
      <c r="Y86" s="29"/>
      <c r="Z86" s="29"/>
      <c r="AA86" s="29">
        <v>0</v>
      </c>
      <c r="AB86" s="29"/>
      <c r="AC86" s="29"/>
      <c r="AD86" s="29"/>
      <c r="AE86" s="29"/>
      <c r="AF86" s="29"/>
      <c r="AG86" s="29"/>
      <c r="AI86" s="29"/>
      <c r="AJ86" s="29"/>
      <c r="AK86" s="29"/>
      <c r="AL86" s="22"/>
      <c r="AM86" s="25"/>
      <c r="AN86" s="29"/>
      <c r="AO86" s="29"/>
      <c r="AP86" s="29"/>
      <c r="AQ86" s="153"/>
      <c r="AR86" s="206"/>
      <c r="AS86" s="153"/>
      <c r="AT86" s="153"/>
      <c r="AU86" s="153">
        <v>0</v>
      </c>
      <c r="AV86" s="153">
        <v>0</v>
      </c>
      <c r="AW86" s="206"/>
      <c r="AX86" s="153">
        <v>0</v>
      </c>
      <c r="AY86" s="153"/>
      <c r="AZ86" s="271"/>
      <c r="BA86" s="29"/>
      <c r="BB86" s="206"/>
      <c r="BC86" s="29"/>
      <c r="BD86" s="29"/>
      <c r="BE86" s="29"/>
      <c r="BF86" s="29"/>
    </row>
    <row r="87" spans="2:58" ht="16.5" customHeight="1">
      <c r="B87" s="37" t="s">
        <v>52</v>
      </c>
      <c r="C87" s="38">
        <f>+SUM(C78:C85)+C92</f>
        <v>18983389</v>
      </c>
      <c r="D87" s="38"/>
      <c r="E87" s="38">
        <f>+SUM(E78:E85)+E92</f>
        <v>19568688</v>
      </c>
      <c r="F87" s="38">
        <f>+SUM(F78:F85)+F92</f>
        <v>19721544</v>
      </c>
      <c r="G87" s="38">
        <f>+SUM(G78:G85)+G92</f>
        <v>19940759</v>
      </c>
      <c r="H87" s="38">
        <f>+SUM(H78:H85)+H92</f>
        <v>20387361</v>
      </c>
      <c r="J87" s="38">
        <f>+SUM(J78:J85)+J92</f>
        <v>18909158</v>
      </c>
      <c r="K87" s="38">
        <f>+SUM(K78:K85)+K92</f>
        <v>20047792</v>
      </c>
      <c r="L87" s="38">
        <f>+SUM(L78:L85)+L92</f>
        <v>22304092</v>
      </c>
      <c r="M87" s="38">
        <f>+SUM(M78:M85)+M92</f>
        <v>22889799</v>
      </c>
      <c r="N87" s="38">
        <f>+SUM(N78:N85)+N92</f>
        <v>22974090</v>
      </c>
      <c r="P87" s="59">
        <f t="shared" ref="P87:V87" si="72">+SUM(P78:P85)+P92</f>
        <v>22316545</v>
      </c>
      <c r="Q87" s="59">
        <f t="shared" si="72"/>
        <v>22416574</v>
      </c>
      <c r="R87" s="59">
        <f t="shared" si="72"/>
        <v>22378748</v>
      </c>
      <c r="S87" s="59">
        <f t="shared" si="72"/>
        <v>22482543</v>
      </c>
      <c r="T87" s="59">
        <f t="shared" si="72"/>
        <v>22786490</v>
      </c>
      <c r="U87" s="59">
        <f t="shared" ref="U87" si="73">+SUM(U78:U85)+U92</f>
        <v>22741000</v>
      </c>
      <c r="V87" s="59">
        <f t="shared" si="72"/>
        <v>23634596</v>
      </c>
      <c r="X87" s="59">
        <f>+SUM(X78:X85)+X92</f>
        <v>23135940</v>
      </c>
      <c r="Y87" s="59">
        <f t="shared" ref="Y87:AC87" si="74">+SUM(Y78:Y85)+Y92</f>
        <v>23696395</v>
      </c>
      <c r="Z87" s="59">
        <f t="shared" si="74"/>
        <v>23875786</v>
      </c>
      <c r="AA87" s="59">
        <f t="shared" si="74"/>
        <v>24307148</v>
      </c>
      <c r="AB87" s="59"/>
      <c r="AC87" s="59">
        <f t="shared" si="74"/>
        <v>23594286</v>
      </c>
      <c r="AD87" s="59">
        <f t="shared" ref="AD87:AF87" si="75">+SUM(AD78:AD85)+AD92</f>
        <v>23888563</v>
      </c>
      <c r="AE87" s="59">
        <f t="shared" si="75"/>
        <v>24279950</v>
      </c>
      <c r="AF87" s="59">
        <f t="shared" si="75"/>
        <v>25572737</v>
      </c>
      <c r="AG87" s="59">
        <f t="shared" ref="AG87" si="76">+SUM(AG78:AG85)+AG92</f>
        <v>25572737</v>
      </c>
      <c r="AI87" s="59">
        <v>24943947</v>
      </c>
      <c r="AJ87" s="59">
        <v>25179773</v>
      </c>
      <c r="AK87" s="59">
        <v>26633443</v>
      </c>
      <c r="AL87" s="25">
        <v>26490257</v>
      </c>
      <c r="AM87" s="25"/>
      <c r="AN87" s="25">
        <v>27828783</v>
      </c>
      <c r="AO87" s="25">
        <v>26956418</v>
      </c>
      <c r="AP87" s="25">
        <v>27811046</v>
      </c>
      <c r="AQ87" s="25">
        <f t="shared" ref="AQ87" si="77">+SUM(AQ78:AQ85)+AQ92</f>
        <v>26229851</v>
      </c>
      <c r="AR87" s="206"/>
      <c r="AS87" s="25">
        <f t="shared" ref="AS87:AV87" si="78">+SUM(AS78:AS85)+AS92</f>
        <v>26797362</v>
      </c>
      <c r="AT87" s="25">
        <f t="shared" si="78"/>
        <v>27485409</v>
      </c>
      <c r="AU87" s="25">
        <f t="shared" si="78"/>
        <v>27820997</v>
      </c>
      <c r="AV87" s="25">
        <f t="shared" si="78"/>
        <v>28806558</v>
      </c>
      <c r="AW87" s="206"/>
      <c r="AX87" s="25">
        <f t="shared" ref="AX87:AY87" si="79">+SUM(AX78:AX85)+AX92</f>
        <v>28055023</v>
      </c>
      <c r="AY87" s="25">
        <f t="shared" si="79"/>
        <v>29092609</v>
      </c>
      <c r="AZ87" s="272">
        <v>30542913</v>
      </c>
      <c r="BA87" s="25">
        <f t="shared" ref="BA87" si="80">+SUM(BA78:BA85)+BA92</f>
        <v>32029904</v>
      </c>
      <c r="BB87" s="206"/>
      <c r="BC87" s="25">
        <v>31409244</v>
      </c>
      <c r="BD87" s="25">
        <v>29817865</v>
      </c>
      <c r="BE87" s="25">
        <v>29332150</v>
      </c>
      <c r="BF87" s="25">
        <v>27789414</v>
      </c>
    </row>
    <row r="88" spans="2:58" ht="7.5" customHeight="1">
      <c r="C88" s="10"/>
      <c r="D88" s="10"/>
      <c r="J88" s="10"/>
      <c r="K88" s="10"/>
      <c r="L88" s="10"/>
      <c r="M88" s="10"/>
      <c r="N88" s="10"/>
      <c r="P88" s="10"/>
      <c r="Q88" s="10"/>
      <c r="R88" s="10"/>
      <c r="S88" s="10"/>
      <c r="T88" s="10"/>
      <c r="U88" s="10"/>
      <c r="V88" s="10"/>
      <c r="X88" s="10"/>
      <c r="Y88" s="10"/>
      <c r="Z88" s="10"/>
      <c r="AA88" s="10"/>
      <c r="AB88" s="10"/>
      <c r="AC88" s="10"/>
      <c r="AD88" s="10"/>
      <c r="AE88" s="10"/>
      <c r="AF88" s="10"/>
      <c r="AG88" s="10"/>
      <c r="AI88" s="10"/>
      <c r="AJ88" s="10"/>
      <c r="AK88" s="10"/>
      <c r="AL88" s="25"/>
      <c r="AM88" s="136"/>
      <c r="AN88" s="10"/>
      <c r="AO88" s="10"/>
      <c r="AP88" s="10"/>
      <c r="AQ88" s="10"/>
      <c r="AR88" s="206"/>
      <c r="AS88" s="10"/>
      <c r="AT88" s="10"/>
      <c r="AU88" s="10"/>
      <c r="AV88" s="10"/>
      <c r="AW88" s="206"/>
      <c r="AX88" s="10"/>
      <c r="AY88" s="10"/>
      <c r="AZ88" s="273"/>
      <c r="BA88" s="10"/>
      <c r="BB88" s="206"/>
      <c r="BC88" s="10"/>
      <c r="BD88" s="10"/>
      <c r="BE88" s="10"/>
      <c r="BF88" s="10"/>
    </row>
    <row r="89" spans="2:58" ht="13">
      <c r="B89" s="37" t="s">
        <v>100</v>
      </c>
      <c r="C89" s="40">
        <f>+SUM(C78:C85)</f>
        <v>13100502</v>
      </c>
      <c r="D89" s="40"/>
      <c r="E89" s="40">
        <f>+SUM(E78:E85)</f>
        <v>13726788</v>
      </c>
      <c r="F89" s="40">
        <f>+SUM(F78:F85)</f>
        <v>13891872</v>
      </c>
      <c r="G89" s="40">
        <f>+SUM(G78:G85)</f>
        <v>14003814</v>
      </c>
      <c r="H89" s="40">
        <f>+SUM(H78:H85)</f>
        <v>14226700</v>
      </c>
      <c r="J89" s="40">
        <f>+SUM(J78:J85)</f>
        <v>13390357</v>
      </c>
      <c r="K89" s="40">
        <f>+SUM(K78:K85)</f>
        <v>14105728</v>
      </c>
      <c r="L89" s="40">
        <f>+SUM(L78:L85)</f>
        <v>14821391</v>
      </c>
      <c r="M89" s="40">
        <f>+SUM(M78:M85)</f>
        <v>14792611</v>
      </c>
      <c r="N89" s="40">
        <f>+SUM(N78:N85)</f>
        <v>14929946</v>
      </c>
      <c r="P89" s="25">
        <f t="shared" ref="P89:V89" si="81">+SUM(P78:P85)</f>
        <v>14520874</v>
      </c>
      <c r="Q89" s="25">
        <f t="shared" si="81"/>
        <v>14671849</v>
      </c>
      <c r="R89" s="25">
        <f t="shared" si="81"/>
        <v>14464114</v>
      </c>
      <c r="S89" s="25">
        <f t="shared" si="81"/>
        <v>14617532</v>
      </c>
      <c r="T89" s="25">
        <f t="shared" si="81"/>
        <v>14600254</v>
      </c>
      <c r="U89" s="25">
        <f t="shared" ref="U89" si="82">+SUM(U78:U85)</f>
        <v>14749544</v>
      </c>
      <c r="V89" s="25">
        <f t="shared" si="81"/>
        <v>15606828</v>
      </c>
      <c r="X89" s="25">
        <f>+SUM(X78:X85)</f>
        <v>15294463</v>
      </c>
      <c r="Y89" s="25">
        <f t="shared" ref="Y89:Z89" si="83">+SUM(Y78:Y85)</f>
        <v>15617521</v>
      </c>
      <c r="Z89" s="25">
        <f t="shared" si="83"/>
        <v>15789499</v>
      </c>
      <c r="AA89" s="25">
        <f t="shared" ref="AA89:AC89" si="84">+SUM(AA78:AA85)</f>
        <v>16046107</v>
      </c>
      <c r="AB89" s="25"/>
      <c r="AC89" s="25">
        <f t="shared" si="84"/>
        <v>15443125</v>
      </c>
      <c r="AD89" s="25">
        <f t="shared" ref="AD89:AF89" si="85">+SUM(AD78:AD85)</f>
        <v>15508372</v>
      </c>
      <c r="AE89" s="25">
        <f t="shared" si="85"/>
        <v>15706473</v>
      </c>
      <c r="AF89" s="25">
        <f t="shared" si="85"/>
        <v>16425891</v>
      </c>
      <c r="AG89" s="25">
        <f t="shared" ref="AG89" si="86">+SUM(AG78:AG85)</f>
        <v>16425891</v>
      </c>
      <c r="AI89" s="25">
        <v>16272778</v>
      </c>
      <c r="AJ89" s="25">
        <v>16409848</v>
      </c>
      <c r="AK89" s="25">
        <v>17238558</v>
      </c>
      <c r="AL89" s="25">
        <v>16833286</v>
      </c>
      <c r="AM89" s="22"/>
      <c r="AN89" s="25">
        <v>17487784</v>
      </c>
      <c r="AO89" s="25">
        <v>17007450</v>
      </c>
      <c r="AP89" s="25">
        <v>17522824</v>
      </c>
      <c r="AQ89" s="25">
        <f t="shared" ref="AQ89" si="87">+SUM(AQ78:AQ85)</f>
        <v>16648241</v>
      </c>
      <c r="AR89" s="206"/>
      <c r="AS89" s="25">
        <f t="shared" ref="AS89:AV89" si="88">+SUM(AS78:AS85)</f>
        <v>17039599</v>
      </c>
      <c r="AT89" s="25">
        <f t="shared" si="88"/>
        <v>17452486</v>
      </c>
      <c r="AU89" s="25">
        <f t="shared" si="88"/>
        <v>17617270</v>
      </c>
      <c r="AV89" s="25">
        <f t="shared" si="88"/>
        <v>18456240</v>
      </c>
      <c r="AW89" s="206"/>
      <c r="AX89" s="25">
        <f t="shared" ref="AX89:AY89" si="89">+SUM(AX78:AX85)</f>
        <v>18638697</v>
      </c>
      <c r="AY89" s="25">
        <f t="shared" si="89"/>
        <v>19295855</v>
      </c>
      <c r="AZ89" s="272">
        <v>20071119</v>
      </c>
      <c r="BA89" s="25">
        <f t="shared" ref="BA89" si="90">+SUM(BA78:BA85)</f>
        <v>21051281</v>
      </c>
      <c r="BB89" s="206"/>
      <c r="BC89" s="25">
        <v>20993693</v>
      </c>
      <c r="BD89" s="25">
        <v>20161696</v>
      </c>
      <c r="BE89" s="25">
        <f>+BE87-BE92</f>
        <v>19733207</v>
      </c>
      <c r="BF89" s="25">
        <v>18886930</v>
      </c>
    </row>
    <row r="90" spans="2:58" ht="13">
      <c r="B90" s="41" t="s">
        <v>48</v>
      </c>
      <c r="C90" s="42">
        <f>+C89/C95</f>
        <v>6798.9921269650149</v>
      </c>
      <c r="D90" s="42"/>
      <c r="E90" s="42">
        <f>+E89/E95</f>
        <v>6984.5053222884826</v>
      </c>
      <c r="F90" s="42">
        <f>+F89/F95</f>
        <v>7384.6193101175322</v>
      </c>
      <c r="G90" s="42">
        <f>+G89/G95</f>
        <v>6903.5997397065785</v>
      </c>
      <c r="H90" s="42">
        <f>+H89/H95</f>
        <v>5946.4735042592147</v>
      </c>
      <c r="J90" s="42">
        <f>+J89/J95</f>
        <v>5198.019060189049</v>
      </c>
      <c r="K90" s="42">
        <f>+K89/K95</f>
        <v>5456.5291225518449</v>
      </c>
      <c r="L90" s="42">
        <f>+L89/L95</f>
        <v>4747.4938659935806</v>
      </c>
      <c r="M90" s="42">
        <f>+M89/M95</f>
        <v>4696.8572489974504</v>
      </c>
      <c r="N90" s="42">
        <f>+N89/N95</f>
        <v>4740.4629985362617</v>
      </c>
      <c r="P90" s="136">
        <f t="shared" ref="P90:V90" si="91">+P89/P95</f>
        <v>4804.4978245405064</v>
      </c>
      <c r="Q90" s="136">
        <f t="shared" si="91"/>
        <v>4854.4506757986337</v>
      </c>
      <c r="R90" s="136">
        <f t="shared" si="91"/>
        <v>4960.0034291788834</v>
      </c>
      <c r="S90" s="136">
        <f t="shared" si="91"/>
        <v>5012.6132057678788</v>
      </c>
      <c r="T90" s="136">
        <f t="shared" si="91"/>
        <v>5069.6206531363396</v>
      </c>
      <c r="U90" s="136">
        <f t="shared" ref="U90" si="92">+U89/U95</f>
        <v>5121.4583586520603</v>
      </c>
      <c r="V90" s="136">
        <f t="shared" si="91"/>
        <v>5201.0450859963139</v>
      </c>
      <c r="X90" s="136">
        <f>+X89/X95</f>
        <v>5310.1349193122796</v>
      </c>
      <c r="Y90" s="136">
        <f t="shared" ref="Y90:AA90" si="93">+Y89/Y95</f>
        <v>5140.2845707740607</v>
      </c>
      <c r="Z90" s="136">
        <f t="shared" si="93"/>
        <v>5376.6677903884329</v>
      </c>
      <c r="AA90" s="136">
        <f t="shared" si="93"/>
        <v>5377.3817024128684</v>
      </c>
      <c r="AB90" s="136"/>
      <c r="AC90" s="136">
        <f t="shared" ref="AC90:AD90" si="94">+AC89/AC95</f>
        <v>5554.1419256456647</v>
      </c>
      <c r="AD90" s="136">
        <f t="shared" si="94"/>
        <v>5291.5149447249896</v>
      </c>
      <c r="AE90" s="136">
        <f t="shared" ref="AE90:AF90" si="95">+AE89/AE95</f>
        <v>5284.4958919042592</v>
      </c>
      <c r="AF90" s="136">
        <f t="shared" si="95"/>
        <v>5054.5091160858528</v>
      </c>
      <c r="AG90" s="136">
        <f t="shared" ref="AG90" si="96">+AG89/AG95</f>
        <v>5054.5091160858528</v>
      </c>
      <c r="AI90" s="136">
        <v>5125.6234270613177</v>
      </c>
      <c r="AJ90" s="136">
        <v>5119.0072590129366</v>
      </c>
      <c r="AK90" s="136">
        <v>4979.3495686032102</v>
      </c>
      <c r="AL90" s="136">
        <v>5136.5782359008163</v>
      </c>
      <c r="AM90" s="136"/>
      <c r="AN90" s="136">
        <v>4302.2389730393306</v>
      </c>
      <c r="AO90" s="136">
        <v>4524.5696225767579</v>
      </c>
      <c r="AP90" s="136">
        <v>4517.4258947031922</v>
      </c>
      <c r="AQ90" s="136">
        <f t="shared" ref="AQ90" si="97">+AQ89/AQ95</f>
        <v>4850.1794610342313</v>
      </c>
      <c r="AR90" s="206"/>
      <c r="AS90" s="136">
        <f t="shared" ref="AS90:AV90" si="98">+AS89/AS95</f>
        <v>4559.8098428915873</v>
      </c>
      <c r="AT90" s="136">
        <f t="shared" si="98"/>
        <v>4645.7330561374838</v>
      </c>
      <c r="AU90" s="136">
        <f t="shared" si="98"/>
        <v>4594.1956043268283</v>
      </c>
      <c r="AV90" s="136">
        <f t="shared" si="98"/>
        <v>4635.8950657597288</v>
      </c>
      <c r="AW90" s="206"/>
      <c r="AX90" s="136">
        <f t="shared" ref="AX90:AY90" si="99">+AX89/AX95</f>
        <v>4972.7724344009712</v>
      </c>
      <c r="AY90" s="136">
        <f t="shared" si="99"/>
        <v>4674.9837067259114</v>
      </c>
      <c r="AZ90" s="274">
        <v>4428.686891420477</v>
      </c>
      <c r="BA90" s="136">
        <f t="shared" ref="BA90" si="100">+BA89/BA95</f>
        <v>4376.3837262483894</v>
      </c>
      <c r="BB90" s="206"/>
      <c r="BC90" s="136">
        <v>4536.9500807171398</v>
      </c>
      <c r="BD90" s="136">
        <v>4810.3910977076221</v>
      </c>
      <c r="BE90" s="136">
        <f>+BE89/$BE$95</f>
        <v>4867.8774767129771</v>
      </c>
      <c r="BF90" s="136">
        <v>4941.5706230949354</v>
      </c>
    </row>
    <row r="91" spans="2:58" ht="13">
      <c r="C91" s="10"/>
      <c r="D91" s="10"/>
      <c r="J91" s="10"/>
      <c r="K91" s="10"/>
      <c r="L91" s="10"/>
      <c r="M91" s="10"/>
      <c r="N91" s="10"/>
      <c r="P91" s="10"/>
      <c r="Q91" s="10"/>
      <c r="R91" s="10"/>
      <c r="S91" s="10"/>
      <c r="T91" s="10"/>
      <c r="U91" s="10"/>
      <c r="V91" s="10"/>
      <c r="X91" s="10"/>
      <c r="Y91" s="10"/>
      <c r="Z91" s="10"/>
      <c r="AA91" s="10"/>
      <c r="AB91" s="10"/>
      <c r="AC91" s="10"/>
      <c r="AD91" s="10"/>
      <c r="AE91" s="10"/>
      <c r="AF91" s="10"/>
      <c r="AG91" s="10"/>
      <c r="AI91" s="10"/>
      <c r="AJ91" s="10"/>
      <c r="AK91" s="10"/>
      <c r="AL91" s="10"/>
      <c r="AM91" s="25"/>
      <c r="AN91" s="10"/>
      <c r="AO91" s="10"/>
      <c r="AP91" s="10"/>
      <c r="AQ91" s="10"/>
      <c r="AR91" s="206"/>
      <c r="AS91" s="10"/>
      <c r="AT91" s="10"/>
      <c r="AU91" s="10"/>
      <c r="AV91" s="10"/>
      <c r="AW91" s="206"/>
      <c r="AX91" s="10"/>
      <c r="AY91" s="10"/>
      <c r="AZ91" s="273"/>
      <c r="BA91" s="10"/>
      <c r="BB91" s="206"/>
      <c r="BC91" s="10"/>
      <c r="BD91" s="10"/>
      <c r="BE91" s="10"/>
      <c r="BF91" s="10"/>
    </row>
    <row r="92" spans="2:58" ht="21" customHeight="1">
      <c r="B92" s="37" t="s">
        <v>28</v>
      </c>
      <c r="C92" s="40">
        <v>5882887</v>
      </c>
      <c r="D92" s="40"/>
      <c r="E92" s="40">
        <v>5841900</v>
      </c>
      <c r="F92" s="40">
        <v>5829672</v>
      </c>
      <c r="G92" s="40">
        <v>5936945</v>
      </c>
      <c r="H92" s="40">
        <v>6160661</v>
      </c>
      <c r="J92" s="40">
        <v>5518801</v>
      </c>
      <c r="K92" s="40">
        <v>5942064</v>
      </c>
      <c r="L92" s="40">
        <v>7482701</v>
      </c>
      <c r="M92" s="40">
        <v>8097188</v>
      </c>
      <c r="N92" s="40">
        <v>8044144</v>
      </c>
      <c r="P92" s="25">
        <v>7795671</v>
      </c>
      <c r="Q92" s="25">
        <v>7744725</v>
      </c>
      <c r="R92" s="25">
        <v>7914634</v>
      </c>
      <c r="S92" s="25">
        <v>7865011</v>
      </c>
      <c r="T92" s="25">
        <v>8186236</v>
      </c>
      <c r="U92" s="25">
        <v>7991456</v>
      </c>
      <c r="V92" s="25">
        <v>8027768</v>
      </c>
      <c r="X92" s="25">
        <v>7841477</v>
      </c>
      <c r="Y92" s="25">
        <v>8078874</v>
      </c>
      <c r="Z92" s="25">
        <v>8086287</v>
      </c>
      <c r="AA92" s="25">
        <v>8261041</v>
      </c>
      <c r="AB92" s="25"/>
      <c r="AC92" s="25">
        <v>8151161</v>
      </c>
      <c r="AD92" s="25">
        <v>8380191</v>
      </c>
      <c r="AE92" s="25">
        <v>8573477</v>
      </c>
      <c r="AF92" s="25">
        <v>9146846</v>
      </c>
      <c r="AG92" s="25">
        <v>9146846</v>
      </c>
      <c r="AI92" s="25">
        <v>8671169</v>
      </c>
      <c r="AJ92" s="25">
        <v>8769925</v>
      </c>
      <c r="AK92" s="25">
        <v>9394885</v>
      </c>
      <c r="AL92" s="25">
        <v>9656971</v>
      </c>
      <c r="AM92" s="25"/>
      <c r="AN92" s="25">
        <v>10340999</v>
      </c>
      <c r="AO92" s="25">
        <v>9948968</v>
      </c>
      <c r="AP92" s="25">
        <v>10288222</v>
      </c>
      <c r="AQ92" s="25">
        <v>9581610</v>
      </c>
      <c r="AR92" s="206"/>
      <c r="AS92" s="25">
        <v>9757763</v>
      </c>
      <c r="AT92" s="25">
        <v>10032923</v>
      </c>
      <c r="AU92" s="25">
        <v>10203727</v>
      </c>
      <c r="AV92" s="25">
        <v>10350318</v>
      </c>
      <c r="AW92" s="206"/>
      <c r="AX92" s="25">
        <v>9416326</v>
      </c>
      <c r="AY92" s="25">
        <v>9796754</v>
      </c>
      <c r="AZ92" s="272">
        <v>10471794</v>
      </c>
      <c r="BA92" s="25">
        <v>10978623</v>
      </c>
      <c r="BB92" s="206"/>
      <c r="BC92" s="25">
        <v>10415551</v>
      </c>
      <c r="BD92" s="25">
        <v>9656169</v>
      </c>
      <c r="BE92" s="25">
        <v>9598943</v>
      </c>
      <c r="BF92" s="25">
        <v>8902484</v>
      </c>
    </row>
    <row r="93" spans="2:58" ht="13">
      <c r="B93" s="41" t="s">
        <v>48</v>
      </c>
      <c r="C93" s="42">
        <f>+C92/C95</f>
        <v>3053.1427266546607</v>
      </c>
      <c r="D93" s="42"/>
      <c r="E93" s="42">
        <f>+E92/E95</f>
        <v>2972.493029125028</v>
      </c>
      <c r="F93" s="42">
        <f>+F92/F95</f>
        <v>3098.9278063353513</v>
      </c>
      <c r="G93" s="42">
        <f>+G92/G95</f>
        <v>2926.7949400536363</v>
      </c>
      <c r="H93" s="42">
        <f>+H92/H95</f>
        <v>2575.0319754562252</v>
      </c>
      <c r="J93" s="42">
        <f>+J92/J95</f>
        <v>2142.3501096640202</v>
      </c>
      <c r="K93" s="42">
        <f>+K92/K95</f>
        <v>2298.5729814205197</v>
      </c>
      <c r="L93" s="42">
        <f>+L92/L95</f>
        <v>2396.8112776030289</v>
      </c>
      <c r="M93" s="42">
        <f>+M92/M95</f>
        <v>2570.9684486596161</v>
      </c>
      <c r="N93" s="42">
        <f>+N92/N95</f>
        <v>2554.1262498134606</v>
      </c>
      <c r="P93" s="136">
        <f t="shared" ref="P93:V93" si="101">+P92/P95</f>
        <v>2579.3409102188693</v>
      </c>
      <c r="Q93" s="136">
        <f t="shared" si="101"/>
        <v>2562.4844905454365</v>
      </c>
      <c r="R93" s="136">
        <f t="shared" si="101"/>
        <v>2714.0695780395386</v>
      </c>
      <c r="S93" s="136">
        <f t="shared" si="101"/>
        <v>2697.0529636678498</v>
      </c>
      <c r="T93" s="136">
        <f t="shared" si="101"/>
        <v>2842.4924043820206</v>
      </c>
      <c r="U93" s="136">
        <f t="shared" ref="U93" si="102">+U92/U95</f>
        <v>2774.8592857514891</v>
      </c>
      <c r="V93" s="136">
        <f t="shared" si="101"/>
        <v>2675.2895148148273</v>
      </c>
      <c r="X93" s="136">
        <f>+X92/X95</f>
        <v>2722.508193761631</v>
      </c>
      <c r="Y93" s="136">
        <f t="shared" ref="Y93:Z93" si="103">+Y92/Y95</f>
        <v>2659.0462962353449</v>
      </c>
      <c r="Z93" s="136">
        <f t="shared" si="103"/>
        <v>2753.5565793909427</v>
      </c>
      <c r="AA93" s="136">
        <f t="shared" ref="AA93:AC93" si="104">+AA92/AA95</f>
        <v>2768.4453753351208</v>
      </c>
      <c r="AB93" s="136"/>
      <c r="AC93" s="136">
        <f t="shared" si="104"/>
        <v>2931.5766758857317</v>
      </c>
      <c r="AD93" s="136">
        <f t="shared" ref="AD93:AF93" si="105">+AD92/AD95</f>
        <v>2859.3527364542101</v>
      </c>
      <c r="AE93" s="136">
        <f t="shared" si="105"/>
        <v>2884.5752949013859</v>
      </c>
      <c r="AF93" s="136">
        <f t="shared" si="105"/>
        <v>2814.6306638972228</v>
      </c>
      <c r="AG93" s="136">
        <f t="shared" ref="AG93" si="106">+AG92/AG95</f>
        <v>2814.6306638972228</v>
      </c>
      <c r="AI93" s="136">
        <v>2731.2575004960959</v>
      </c>
      <c r="AJ93" s="136">
        <v>2735.7541481188018</v>
      </c>
      <c r="AK93" s="136">
        <v>2713.70822152449</v>
      </c>
      <c r="AL93" s="136">
        <v>2946.7679134855393</v>
      </c>
      <c r="AM93" s="25"/>
      <c r="AN93" s="136">
        <v>2544.0301022680028</v>
      </c>
      <c r="AO93" s="136">
        <v>2646.7694092170336</v>
      </c>
      <c r="AP93" s="136">
        <v>2652.3282133778816</v>
      </c>
      <c r="AQ93" s="136">
        <f t="shared" ref="AQ93" si="107">+AQ92/AQ95</f>
        <v>2791.4377276037872</v>
      </c>
      <c r="AR93" s="206"/>
      <c r="AS93" s="136">
        <f t="shared" ref="AS93:AV93" si="108">+AS92/AS95</f>
        <v>2611.184909457279</v>
      </c>
      <c r="AT93" s="136">
        <f t="shared" si="108"/>
        <v>2670.6958556381051</v>
      </c>
      <c r="AU93" s="136">
        <f t="shared" si="108"/>
        <v>2660.90703787539</v>
      </c>
      <c r="AV93" s="136">
        <f t="shared" si="108"/>
        <v>2599.8246742155552</v>
      </c>
      <c r="AW93" s="206"/>
      <c r="AX93" s="136">
        <f t="shared" ref="AX93:AY93" si="109">+AX92/AX95</f>
        <v>2512.2596480930592</v>
      </c>
      <c r="AY93" s="136">
        <f t="shared" si="109"/>
        <v>2373.5494140478304</v>
      </c>
      <c r="AZ93" s="136">
        <v>2310.5984682496078</v>
      </c>
      <c r="BA93" s="136">
        <f t="shared" ref="BA93" si="110">+BA92/BA95</f>
        <v>2282.3631034052637</v>
      </c>
      <c r="BB93" s="206"/>
      <c r="BC93" s="136">
        <v>2250.9062579015272</v>
      </c>
      <c r="BD93" s="136">
        <v>2303.8711324464125</v>
      </c>
      <c r="BE93" s="136">
        <f>+BE92/$BE$95</f>
        <v>2367.9110258130722</v>
      </c>
      <c r="BF93" s="136">
        <v>2329.2432071793933</v>
      </c>
    </row>
    <row r="94" spans="2:58" ht="16.5" customHeight="1">
      <c r="C94" s="10"/>
      <c r="D94" s="10"/>
      <c r="K94" s="28"/>
      <c r="AR94" s="206"/>
      <c r="AW94" s="206"/>
      <c r="BB94" s="206"/>
    </row>
    <row r="95" spans="2:58" ht="16.5" customHeight="1">
      <c r="B95" s="11" t="s">
        <v>130</v>
      </c>
      <c r="C95" s="112">
        <v>1926.83</v>
      </c>
      <c r="D95" s="112"/>
      <c r="E95" s="112">
        <v>1965.32</v>
      </c>
      <c r="F95" s="112">
        <v>1881.19</v>
      </c>
      <c r="G95" s="112">
        <v>2028.48</v>
      </c>
      <c r="H95" s="112">
        <v>2392.46</v>
      </c>
      <c r="I95" s="113"/>
      <c r="J95" s="28">
        <v>2576.0500000000002</v>
      </c>
      <c r="K95" s="28">
        <v>2585.11</v>
      </c>
      <c r="L95" s="114">
        <v>3121.94</v>
      </c>
      <c r="M95" s="114">
        <v>3149.47</v>
      </c>
      <c r="N95" s="114">
        <v>3149.47</v>
      </c>
      <c r="P95" s="137">
        <v>3022.35</v>
      </c>
      <c r="Q95" s="137">
        <v>3022.35</v>
      </c>
      <c r="R95" s="137">
        <v>2916.15</v>
      </c>
      <c r="S95" s="137">
        <v>2916.15</v>
      </c>
      <c r="T95" s="137">
        <v>2879.95</v>
      </c>
      <c r="U95" s="137">
        <v>2879.95</v>
      </c>
      <c r="V95" s="137">
        <v>3000.71</v>
      </c>
      <c r="X95" s="137">
        <v>2880.24</v>
      </c>
      <c r="Y95" s="137">
        <v>3038.26</v>
      </c>
      <c r="Z95" s="137">
        <v>2936.67</v>
      </c>
      <c r="AA95" s="137">
        <v>2984</v>
      </c>
      <c r="AB95" s="137"/>
      <c r="AC95" s="137">
        <v>2780.47</v>
      </c>
      <c r="AD95" s="137">
        <v>2930.8</v>
      </c>
      <c r="AE95" s="137">
        <v>2972.18</v>
      </c>
      <c r="AF95" s="137">
        <v>3249.75</v>
      </c>
      <c r="AG95" s="137">
        <v>3249.75</v>
      </c>
      <c r="AI95" s="137">
        <v>3174.79</v>
      </c>
      <c r="AJ95" s="137">
        <v>3205.67</v>
      </c>
      <c r="AK95" s="137">
        <v>3462.01</v>
      </c>
      <c r="AL95" s="137">
        <v>3277.14</v>
      </c>
      <c r="AM95" s="137"/>
      <c r="AN95" s="137">
        <v>4064.81</v>
      </c>
      <c r="AO95" s="137">
        <v>3758.91</v>
      </c>
      <c r="AP95" s="137">
        <v>3878.94</v>
      </c>
      <c r="AQ95" s="262">
        <v>3432.5</v>
      </c>
      <c r="AR95" s="206"/>
      <c r="AS95" s="262">
        <v>3736.91</v>
      </c>
      <c r="AT95" s="262">
        <v>3756.67</v>
      </c>
      <c r="AU95" s="262">
        <v>3834.68</v>
      </c>
      <c r="AV95" s="262">
        <v>3981.16</v>
      </c>
      <c r="AW95" s="206"/>
      <c r="AX95" s="262">
        <v>3748.15</v>
      </c>
      <c r="AY95" s="262">
        <v>4127.47</v>
      </c>
      <c r="AZ95" s="137">
        <v>4532.07</v>
      </c>
      <c r="BA95" s="137">
        <v>4810.2</v>
      </c>
      <c r="BB95" s="206"/>
      <c r="BC95" s="137">
        <v>4627.2700000000004</v>
      </c>
      <c r="BD95" s="137">
        <v>4191.28</v>
      </c>
      <c r="BE95" s="137">
        <v>4053.76</v>
      </c>
      <c r="BF95" s="137">
        <v>3822.05</v>
      </c>
    </row>
    <row r="96" spans="2:58" ht="16.5" customHeight="1">
      <c r="C96" s="10"/>
      <c r="D96" s="10"/>
      <c r="K96" s="28"/>
    </row>
    <row r="97" spans="2:8" ht="14.5">
      <c r="B97" s="33"/>
      <c r="C97" s="33"/>
      <c r="D97" s="33"/>
      <c r="E97" s="32"/>
      <c r="F97" s="21"/>
      <c r="G97" s="21"/>
      <c r="H97" s="21"/>
    </row>
    <row r="98" spans="2:8" ht="14.5">
      <c r="B98" s="31"/>
      <c r="C98" s="31"/>
      <c r="D98" s="31"/>
      <c r="E98" s="36"/>
      <c r="F98" s="36"/>
      <c r="G98" s="36"/>
      <c r="H98" s="36"/>
    </row>
  </sheetData>
  <mergeCells count="10">
    <mergeCell ref="E6:H6"/>
    <mergeCell ref="J6:N6"/>
    <mergeCell ref="AC6:AF6"/>
    <mergeCell ref="X6:AA6"/>
    <mergeCell ref="P6:V6"/>
    <mergeCell ref="BC6:BF6"/>
    <mergeCell ref="AX6:BA6"/>
    <mergeCell ref="AS6:AV6"/>
    <mergeCell ref="AI6:AL6"/>
    <mergeCell ref="AN6:AQ6"/>
  </mergeCells>
  <phoneticPr fontId="285" type="noConversion"/>
  <printOptions horizontalCentered="1"/>
  <pageMargins left="0.27" right="0.22" top="0.63" bottom="0.34" header="0" footer="0"/>
  <pageSetup scale="38" orientation="landscape" r:id="rId1"/>
  <headerFooter alignWithMargins="0"/>
  <customProperties>
    <customPr name="EpmWorksheetKeyString_GUID" r:id="rId2"/>
  </customProperties>
  <ignoredErrors>
    <ignoredError sqref="F34:F37 F68:F70 F54 F19:F21 F25 F28 F72" formula="1"/>
    <ignoredError sqref="BC6" numberStoredAsText="1"/>
  </ignoredErrors>
  <drawing r:id="rId3"/>
  <legacyDrawing r:id="rId4"/>
  <controls>
    <mc:AlternateContent xmlns:mc="http://schemas.openxmlformats.org/markup-compatibility/2006">
      <mc:Choice Requires="x14">
        <control shapeId="38913" r:id="rId5" name="FPMExcelClientSheetOptionstb1">
          <controlPr defaultSize="0" autoLine="0" autoPict="0" r:id="rId6">
            <anchor moveWithCells="1" sizeWithCells="1">
              <from>
                <xdr:col>0</xdr:col>
                <xdr:colOff>0</xdr:colOff>
                <xdr:row>0</xdr:row>
                <xdr:rowOff>0</xdr:rowOff>
              </from>
              <to>
                <xdr:col>1</xdr:col>
                <xdr:colOff>57150</xdr:colOff>
                <xdr:row>0</xdr:row>
                <xdr:rowOff>0</xdr:rowOff>
              </to>
            </anchor>
          </controlPr>
        </control>
      </mc:Choice>
      <mc:Fallback>
        <control shapeId="38913" r:id="rId5" name="FPMExcelClientSheetOptionstb1"/>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81A10-9EDA-4455-A41B-E6BB756ABE59}">
  <dimension ref="A1:F83"/>
  <sheetViews>
    <sheetView showGridLines="0" zoomScaleNormal="100" workbookViewId="0">
      <selection activeCell="E22" sqref="E22"/>
    </sheetView>
  </sheetViews>
  <sheetFormatPr baseColWidth="10" defaultColWidth="11.453125" defaultRowHeight="12"/>
  <cols>
    <col min="1" max="1" width="82.1796875" style="288" customWidth="1"/>
    <col min="2" max="2" width="13.81640625" style="288" bestFit="1" customWidth="1"/>
    <col min="3" max="3" width="15.81640625" style="288" customWidth="1"/>
    <col min="4" max="16384" width="11.453125" style="288"/>
  </cols>
  <sheetData>
    <row r="1" spans="1:3" ht="23">
      <c r="A1" s="287" t="s">
        <v>338</v>
      </c>
    </row>
    <row r="2" spans="1:3" ht="18">
      <c r="A2" s="343" t="s">
        <v>388</v>
      </c>
    </row>
    <row r="3" spans="1:3" ht="13.5">
      <c r="A3" s="289" t="s">
        <v>389</v>
      </c>
    </row>
    <row r="5" spans="1:3" ht="15.75" customHeight="1" thickBot="1">
      <c r="A5" s="323"/>
      <c r="B5" s="394"/>
      <c r="C5" s="394"/>
    </row>
    <row r="6" spans="1:3" s="346" customFormat="1" thickBot="1">
      <c r="A6" s="323"/>
      <c r="B6" s="344">
        <v>2023</v>
      </c>
      <c r="C6" s="345">
        <v>2022</v>
      </c>
    </row>
    <row r="7" spans="1:3" s="346" customFormat="1" thickBot="1">
      <c r="A7" s="324" t="s">
        <v>188</v>
      </c>
      <c r="B7" s="347"/>
      <c r="C7" s="325"/>
    </row>
    <row r="8" spans="1:3" s="346" customFormat="1" thickTop="1">
      <c r="A8" s="326" t="s">
        <v>223</v>
      </c>
      <c r="B8" s="348">
        <v>1459998</v>
      </c>
      <c r="C8" s="349">
        <v>1440341</v>
      </c>
    </row>
    <row r="9" spans="1:3" s="346" customFormat="1" ht="11.5">
      <c r="A9" s="327" t="s">
        <v>215</v>
      </c>
      <c r="B9" s="309"/>
      <c r="C9" s="283"/>
    </row>
    <row r="10" spans="1:3" s="346" customFormat="1" ht="11.5">
      <c r="A10" s="327" t="s">
        <v>228</v>
      </c>
      <c r="B10" s="301">
        <v>-90098</v>
      </c>
      <c r="C10" s="302">
        <v>-70138</v>
      </c>
    </row>
    <row r="11" spans="1:3" s="346" customFormat="1" ht="11.5">
      <c r="A11" s="283" t="s">
        <v>359</v>
      </c>
      <c r="B11" s="301">
        <v>770695</v>
      </c>
      <c r="C11" s="302">
        <v>813936</v>
      </c>
    </row>
    <row r="12" spans="1:3" s="346" customFormat="1" ht="11.5">
      <c r="A12" s="283" t="s">
        <v>181</v>
      </c>
      <c r="B12" s="301">
        <v>-586422</v>
      </c>
      <c r="C12" s="302">
        <v>-759273</v>
      </c>
    </row>
    <row r="13" spans="1:3" s="346" customFormat="1" ht="11.5">
      <c r="A13" s="283" t="s">
        <v>262</v>
      </c>
      <c r="B13" s="309" t="s">
        <v>390</v>
      </c>
      <c r="C13" s="302">
        <v>1402026</v>
      </c>
    </row>
    <row r="14" spans="1:3" s="346" customFormat="1" ht="11.5">
      <c r="A14" s="283" t="s">
        <v>164</v>
      </c>
      <c r="B14" s="301">
        <v>226922</v>
      </c>
      <c r="C14" s="302">
        <v>174089</v>
      </c>
    </row>
    <row r="15" spans="1:3" s="346" customFormat="1" ht="11.5">
      <c r="A15" s="327" t="s">
        <v>343</v>
      </c>
      <c r="B15" s="301">
        <v>-348686</v>
      </c>
      <c r="C15" s="302">
        <v>-208226</v>
      </c>
    </row>
    <row r="16" spans="1:3" s="346" customFormat="1" ht="11.5">
      <c r="A16" s="283" t="s">
        <v>291</v>
      </c>
      <c r="B16" s="301">
        <v>-79955</v>
      </c>
      <c r="C16" s="302">
        <v>-94030</v>
      </c>
    </row>
    <row r="17" spans="1:3" s="346" customFormat="1" ht="11.5">
      <c r="A17" s="283" t="s">
        <v>323</v>
      </c>
      <c r="B17" s="309" t="s">
        <v>184</v>
      </c>
      <c r="C17" s="302">
        <v>-4225</v>
      </c>
    </row>
    <row r="18" spans="1:3" s="346" customFormat="1" ht="11.5">
      <c r="A18" s="283" t="s">
        <v>292</v>
      </c>
      <c r="B18" s="301">
        <v>35170</v>
      </c>
      <c r="C18" s="302">
        <v>73587</v>
      </c>
    </row>
    <row r="19" spans="1:3" s="346" customFormat="1" ht="11.5">
      <c r="A19" s="283" t="s">
        <v>241</v>
      </c>
      <c r="B19" s="301">
        <v>126287</v>
      </c>
      <c r="C19" s="302">
        <v>144368</v>
      </c>
    </row>
    <row r="20" spans="1:3" s="346" customFormat="1" ht="11.5">
      <c r="A20" s="283" t="s">
        <v>165</v>
      </c>
      <c r="B20" s="301">
        <v>1356988</v>
      </c>
      <c r="C20" s="302">
        <v>1626911</v>
      </c>
    </row>
    <row r="21" spans="1:3" s="346" customFormat="1" ht="11.5">
      <c r="A21" s="283" t="s">
        <v>360</v>
      </c>
      <c r="B21" s="301">
        <v>194452</v>
      </c>
      <c r="C21" s="302">
        <v>-14344</v>
      </c>
    </row>
    <row r="22" spans="1:3" s="346" customFormat="1" ht="11.5">
      <c r="A22" s="283" t="s">
        <v>192</v>
      </c>
      <c r="B22" s="301">
        <v>-47204</v>
      </c>
      <c r="C22" s="302">
        <v>-44439</v>
      </c>
    </row>
    <row r="23" spans="1:3" s="346" customFormat="1" thickBot="1">
      <c r="A23" s="328"/>
      <c r="B23" s="350">
        <v>4832643</v>
      </c>
      <c r="C23" s="351">
        <v>4480583</v>
      </c>
    </row>
    <row r="24" spans="1:3" s="346" customFormat="1" ht="11.5">
      <c r="A24" s="326" t="s">
        <v>237</v>
      </c>
      <c r="B24" s="352"/>
    </row>
    <row r="25" spans="1:3" s="346" customFormat="1" ht="11.5">
      <c r="A25" s="283" t="s">
        <v>311</v>
      </c>
      <c r="B25" s="301">
        <v>-830123</v>
      </c>
      <c r="C25" s="302">
        <v>-409510</v>
      </c>
    </row>
    <row r="26" spans="1:3" s="346" customFormat="1" ht="11.5">
      <c r="A26" s="283" t="s">
        <v>30</v>
      </c>
      <c r="B26" s="301">
        <v>274704</v>
      </c>
      <c r="C26" s="302">
        <v>-314205</v>
      </c>
    </row>
    <row r="27" spans="1:3" s="346" customFormat="1" ht="11.5">
      <c r="A27" s="283" t="s">
        <v>32</v>
      </c>
      <c r="B27" s="301">
        <v>23139</v>
      </c>
      <c r="C27" s="302">
        <v>-130224</v>
      </c>
    </row>
    <row r="28" spans="1:3" s="346" customFormat="1" ht="11.5">
      <c r="A28" s="283" t="s">
        <v>295</v>
      </c>
      <c r="B28" s="301">
        <v>674294</v>
      </c>
      <c r="C28" s="302">
        <v>-62427</v>
      </c>
    </row>
    <row r="29" spans="1:3" s="346" customFormat="1" ht="11.5">
      <c r="A29" s="283" t="s">
        <v>34</v>
      </c>
      <c r="B29" s="301">
        <v>-329885</v>
      </c>
      <c r="C29" s="302">
        <v>148296</v>
      </c>
    </row>
    <row r="30" spans="1:3" s="346" customFormat="1" thickBot="1">
      <c r="A30" s="329" t="s">
        <v>238</v>
      </c>
      <c r="B30" s="350">
        <v>4644772</v>
      </c>
      <c r="C30" s="351">
        <v>3712513</v>
      </c>
    </row>
    <row r="31" spans="1:3" s="346" customFormat="1" ht="11.5">
      <c r="A31" s="327" t="s">
        <v>166</v>
      </c>
      <c r="B31" s="301">
        <v>-663349</v>
      </c>
      <c r="C31" s="302">
        <v>-611930</v>
      </c>
    </row>
    <row r="32" spans="1:3" s="346" customFormat="1" ht="11.5">
      <c r="A32" s="327" t="s">
        <v>263</v>
      </c>
      <c r="B32" s="301">
        <v>348964</v>
      </c>
      <c r="C32" s="302">
        <v>260619</v>
      </c>
    </row>
    <row r="33" spans="1:3" s="346" customFormat="1" thickBot="1">
      <c r="A33" s="329" t="s">
        <v>259</v>
      </c>
      <c r="B33" s="350">
        <v>4330387</v>
      </c>
      <c r="C33" s="351">
        <v>3361202</v>
      </c>
    </row>
    <row r="34" spans="1:3" s="346" customFormat="1" ht="11.5">
      <c r="B34" s="353"/>
    </row>
    <row r="35" spans="1:3" s="346" customFormat="1" thickBot="1">
      <c r="A35" s="323"/>
      <c r="B35" s="344">
        <v>2023</v>
      </c>
      <c r="C35" s="345">
        <v>2022</v>
      </c>
    </row>
    <row r="36" spans="1:3" s="346" customFormat="1" thickBot="1">
      <c r="A36" s="330" t="s">
        <v>189</v>
      </c>
      <c r="B36" s="354"/>
      <c r="C36" s="330"/>
    </row>
    <row r="37" spans="1:3" s="346" customFormat="1" thickTop="1">
      <c r="A37" s="331" t="s">
        <v>227</v>
      </c>
      <c r="B37" s="301">
        <v>306013</v>
      </c>
      <c r="C37" s="302">
        <v>169350</v>
      </c>
    </row>
    <row r="38" spans="1:3" s="346" customFormat="1" ht="11.5">
      <c r="A38" s="332" t="s">
        <v>167</v>
      </c>
      <c r="B38" s="301">
        <v>-2086600</v>
      </c>
      <c r="C38" s="302">
        <v>-2780637</v>
      </c>
    </row>
    <row r="39" spans="1:3" s="346" customFormat="1" ht="11.5">
      <c r="A39" s="332" t="s">
        <v>168</v>
      </c>
      <c r="B39" s="301">
        <v>118812</v>
      </c>
      <c r="C39" s="302">
        <v>391886</v>
      </c>
    </row>
    <row r="40" spans="1:3" s="346" customFormat="1" ht="11.5">
      <c r="A40" s="332" t="s">
        <v>169</v>
      </c>
      <c r="B40" s="301">
        <v>-11701</v>
      </c>
      <c r="C40" s="302">
        <v>-5797</v>
      </c>
    </row>
    <row r="41" spans="1:3" s="346" customFormat="1" ht="11.5">
      <c r="A41" s="332" t="s">
        <v>170</v>
      </c>
      <c r="B41" s="309">
        <v>97</v>
      </c>
      <c r="C41" s="302">
        <v>4884</v>
      </c>
    </row>
    <row r="42" spans="1:3" s="346" customFormat="1" ht="11.5">
      <c r="A42" s="332" t="s">
        <v>171</v>
      </c>
      <c r="B42" s="301">
        <v>-19820</v>
      </c>
      <c r="C42" s="302">
        <v>-88192</v>
      </c>
    </row>
    <row r="43" spans="1:3" s="346" customFormat="1" ht="11.5">
      <c r="A43" s="332" t="s">
        <v>324</v>
      </c>
      <c r="B43" s="301">
        <v>42781</v>
      </c>
      <c r="C43" s="302">
        <v>17037</v>
      </c>
    </row>
    <row r="44" spans="1:3" s="346" customFormat="1" ht="11.5">
      <c r="A44" s="332" t="s">
        <v>172</v>
      </c>
      <c r="B44" s="309">
        <v>-29</v>
      </c>
      <c r="C44" s="303" t="s">
        <v>184</v>
      </c>
    </row>
    <row r="45" spans="1:3" s="346" customFormat="1" ht="11.5">
      <c r="A45" s="332" t="s">
        <v>173</v>
      </c>
      <c r="B45" s="301">
        <v>23091</v>
      </c>
      <c r="C45" s="302">
        <v>13508</v>
      </c>
    </row>
    <row r="46" spans="1:3" s="346" customFormat="1" ht="11.5">
      <c r="A46" s="332" t="s">
        <v>344</v>
      </c>
      <c r="B46" s="301">
        <v>84101</v>
      </c>
      <c r="C46" s="302">
        <v>188842</v>
      </c>
    </row>
    <row r="47" spans="1:3" s="346" customFormat="1" ht="11.5">
      <c r="A47" s="332" t="s">
        <v>325</v>
      </c>
      <c r="B47" s="309">
        <v>-774</v>
      </c>
      <c r="C47" s="303" t="s">
        <v>184</v>
      </c>
    </row>
    <row r="48" spans="1:3" s="346" customFormat="1" ht="11.5">
      <c r="A48" s="332" t="s">
        <v>239</v>
      </c>
      <c r="B48" s="301">
        <v>-46847</v>
      </c>
      <c r="C48" s="302">
        <v>-228151</v>
      </c>
    </row>
    <row r="49" spans="1:3" s="346" customFormat="1" ht="11.5">
      <c r="A49" s="332" t="s">
        <v>296</v>
      </c>
      <c r="B49" s="301">
        <v>-65909</v>
      </c>
      <c r="C49" s="302">
        <v>-86392</v>
      </c>
    </row>
    <row r="50" spans="1:3" s="346" customFormat="1" ht="11.5">
      <c r="A50" s="333" t="s">
        <v>361</v>
      </c>
      <c r="B50" s="301">
        <v>434858</v>
      </c>
      <c r="C50" s="302">
        <v>236084</v>
      </c>
    </row>
    <row r="51" spans="1:3" s="346" customFormat="1" ht="11.5">
      <c r="A51" s="332" t="s">
        <v>174</v>
      </c>
      <c r="B51" s="301">
        <v>-773319</v>
      </c>
      <c r="C51" s="302">
        <v>-1284411</v>
      </c>
    </row>
    <row r="52" spans="1:3" s="346" customFormat="1" ht="11.5">
      <c r="A52" s="332" t="s">
        <v>175</v>
      </c>
      <c r="B52" s="301">
        <v>1065400</v>
      </c>
      <c r="C52" s="302">
        <v>1297472</v>
      </c>
    </row>
    <row r="53" spans="1:3" s="346" customFormat="1" ht="11.5">
      <c r="A53" s="332" t="s">
        <v>345</v>
      </c>
      <c r="B53" s="309" t="s">
        <v>184</v>
      </c>
      <c r="C53" s="302">
        <v>169127</v>
      </c>
    </row>
    <row r="54" spans="1:3" s="346" customFormat="1" ht="11.5">
      <c r="A54" s="332" t="s">
        <v>280</v>
      </c>
      <c r="B54" s="301">
        <v>-15000</v>
      </c>
      <c r="C54" s="302">
        <v>-8803</v>
      </c>
    </row>
    <row r="55" spans="1:3" s="346" customFormat="1" ht="11.5">
      <c r="A55" s="332" t="s">
        <v>326</v>
      </c>
      <c r="B55" s="309" t="s">
        <v>184</v>
      </c>
      <c r="C55" s="302">
        <v>18091</v>
      </c>
    </row>
    <row r="56" spans="1:3" s="346" customFormat="1" ht="11.5">
      <c r="A56" s="332" t="s">
        <v>314</v>
      </c>
      <c r="B56" s="309">
        <v>51</v>
      </c>
      <c r="C56" s="302">
        <v>11709</v>
      </c>
    </row>
    <row r="57" spans="1:3" s="346" customFormat="1" thickBot="1">
      <c r="A57" s="334" t="s">
        <v>368</v>
      </c>
      <c r="B57" s="350">
        <v>-944795</v>
      </c>
      <c r="C57" s="351">
        <v>-1964393</v>
      </c>
    </row>
    <row r="58" spans="1:3" s="346" customFormat="1" ht="11.5">
      <c r="A58" s="335"/>
      <c r="B58" s="355"/>
      <c r="C58" s="356"/>
    </row>
    <row r="59" spans="1:3" s="346" customFormat="1" thickBot="1">
      <c r="A59" s="336" t="s">
        <v>190</v>
      </c>
      <c r="B59" s="357"/>
      <c r="C59" s="358"/>
    </row>
    <row r="60" spans="1:3" s="346" customFormat="1" thickTop="1">
      <c r="A60" s="331" t="s">
        <v>346</v>
      </c>
      <c r="B60" s="309" t="s">
        <v>184</v>
      </c>
      <c r="C60" s="359" t="s">
        <v>184</v>
      </c>
    </row>
    <row r="61" spans="1:3" s="346" customFormat="1" ht="11.5">
      <c r="A61" s="283" t="s">
        <v>362</v>
      </c>
      <c r="B61" s="360">
        <v>-107726</v>
      </c>
      <c r="C61" s="359" t="s">
        <v>184</v>
      </c>
    </row>
    <row r="62" spans="1:3" s="346" customFormat="1" ht="11.5">
      <c r="A62" s="283" t="s">
        <v>347</v>
      </c>
      <c r="B62" s="301">
        <v>242500</v>
      </c>
      <c r="C62" s="302">
        <v>297769</v>
      </c>
    </row>
    <row r="63" spans="1:3" s="346" customFormat="1" ht="11.5">
      <c r="A63" s="283" t="s">
        <v>281</v>
      </c>
      <c r="B63" s="301">
        <v>-894837</v>
      </c>
      <c r="C63" s="302">
        <v>-1217837</v>
      </c>
    </row>
    <row r="64" spans="1:3" s="346" customFormat="1" ht="11.5">
      <c r="A64" s="332" t="s">
        <v>282</v>
      </c>
      <c r="B64" s="301">
        <v>3460324</v>
      </c>
      <c r="C64" s="302">
        <v>6386381</v>
      </c>
    </row>
    <row r="65" spans="1:3" s="346" customFormat="1" ht="11.5">
      <c r="A65" s="332" t="s">
        <v>283</v>
      </c>
      <c r="B65" s="301">
        <v>-2898388</v>
      </c>
      <c r="C65" s="302">
        <v>-4947624</v>
      </c>
    </row>
    <row r="66" spans="1:3" s="346" customFormat="1" ht="11.5">
      <c r="A66" s="332" t="s">
        <v>258</v>
      </c>
      <c r="B66" s="301">
        <v>-159913</v>
      </c>
      <c r="C66" s="302">
        <v>-161512</v>
      </c>
    </row>
    <row r="67" spans="1:3" s="346" customFormat="1" ht="11.5">
      <c r="A67" s="332" t="s">
        <v>327</v>
      </c>
      <c r="B67" s="301">
        <v>-54137</v>
      </c>
      <c r="C67" s="302">
        <v>-62850</v>
      </c>
    </row>
    <row r="68" spans="1:3" s="346" customFormat="1" ht="11.5">
      <c r="A68" s="332" t="s">
        <v>264</v>
      </c>
      <c r="B68" s="301">
        <v>-35576</v>
      </c>
      <c r="C68" s="302">
        <v>-67270</v>
      </c>
    </row>
    <row r="69" spans="1:3" s="346" customFormat="1" ht="11.5">
      <c r="A69" s="332" t="s">
        <v>265</v>
      </c>
      <c r="B69" s="301">
        <v>122155</v>
      </c>
      <c r="C69" s="302">
        <v>87716</v>
      </c>
    </row>
    <row r="70" spans="1:3" s="346" customFormat="1" ht="11.5">
      <c r="A70" s="332" t="s">
        <v>328</v>
      </c>
      <c r="B70" s="301">
        <v>7361</v>
      </c>
      <c r="C70" s="303" t="s">
        <v>184</v>
      </c>
    </row>
    <row r="71" spans="1:3" s="346" customFormat="1" ht="11.5">
      <c r="A71" s="332" t="s">
        <v>242</v>
      </c>
      <c r="B71" s="301">
        <v>-842079</v>
      </c>
      <c r="C71" s="302">
        <v>-691824</v>
      </c>
    </row>
    <row r="72" spans="1:3" s="346" customFormat="1" ht="11.5">
      <c r="A72" s="332" t="s">
        <v>243</v>
      </c>
      <c r="B72" s="301">
        <v>-198720</v>
      </c>
      <c r="C72" s="302">
        <v>-122750</v>
      </c>
    </row>
    <row r="73" spans="1:3" s="346" customFormat="1" ht="11.5">
      <c r="A73" s="283" t="s">
        <v>127</v>
      </c>
      <c r="B73" s="301">
        <v>-1927394</v>
      </c>
      <c r="C73" s="302">
        <v>-1261979</v>
      </c>
    </row>
    <row r="74" spans="1:3" s="346" customFormat="1" ht="11.5">
      <c r="A74" s="283" t="s">
        <v>320</v>
      </c>
      <c r="B74" s="301">
        <v>-57850</v>
      </c>
      <c r="C74" s="302">
        <v>-96076</v>
      </c>
    </row>
    <row r="75" spans="1:3" s="346" customFormat="1" thickBot="1">
      <c r="A75" s="329" t="s">
        <v>369</v>
      </c>
      <c r="B75" s="350">
        <v>-3344280</v>
      </c>
      <c r="C75" s="351">
        <v>-1857856</v>
      </c>
    </row>
    <row r="76" spans="1:3" s="346" customFormat="1" thickBot="1">
      <c r="A76" s="324" t="s">
        <v>370</v>
      </c>
      <c r="B76" s="361">
        <v>41312</v>
      </c>
      <c r="C76" s="362">
        <v>-461047</v>
      </c>
    </row>
    <row r="77" spans="1:3" s="346" customFormat="1" ht="23.5" thickTop="1">
      <c r="A77" s="327" t="s">
        <v>348</v>
      </c>
      <c r="B77" s="301">
        <v>2456778</v>
      </c>
      <c r="C77" s="302">
        <v>2684817</v>
      </c>
    </row>
    <row r="78" spans="1:3" s="346" customFormat="1" ht="23">
      <c r="A78" s="327" t="s">
        <v>216</v>
      </c>
      <c r="B78" s="301">
        <v>-294626</v>
      </c>
      <c r="C78" s="302">
        <v>233008</v>
      </c>
    </row>
    <row r="79" spans="1:3" s="346" customFormat="1" ht="23.5" thickBot="1">
      <c r="A79" s="363" t="s">
        <v>349</v>
      </c>
      <c r="B79" s="361">
        <v>2203464</v>
      </c>
      <c r="C79" s="362">
        <v>2456778</v>
      </c>
    </row>
    <row r="80" spans="1:3" s="346" customFormat="1" thickTop="1">
      <c r="A80" s="327" t="s">
        <v>350</v>
      </c>
      <c r="B80" s="301">
        <v>1989</v>
      </c>
      <c r="C80" s="302">
        <v>1027673</v>
      </c>
    </row>
    <row r="81" spans="1:3" s="346" customFormat="1" ht="35" thickBot="1">
      <c r="A81" s="363" t="s">
        <v>351</v>
      </c>
      <c r="B81" s="361">
        <v>2201475</v>
      </c>
      <c r="C81" s="362">
        <v>1429105</v>
      </c>
    </row>
    <row r="82" spans="1:3" s="346" customFormat="1" thickTop="1"/>
    <row r="83" spans="1:3" s="346" customFormat="1" ht="11.5"/>
  </sheetData>
  <mergeCells count="1">
    <mergeCell ref="B5:C5"/>
  </mergeCell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B1:BP105"/>
  <sheetViews>
    <sheetView showGridLines="0" topLeftCell="B1" zoomScaleNormal="100" workbookViewId="0">
      <pane xSplit="1" ySplit="9" topLeftCell="BH22" activePane="bottomRight" state="frozen"/>
      <selection activeCell="D38" sqref="D38"/>
      <selection pane="topRight" activeCell="D38" sqref="D38"/>
      <selection pane="bottomLeft" activeCell="D38" sqref="D38"/>
      <selection pane="bottomRight" activeCell="BP10" sqref="BP10:BP66"/>
    </sheetView>
  </sheetViews>
  <sheetFormatPr baseColWidth="10" defaultColWidth="13" defaultRowHeight="16.5" customHeight="1"/>
  <cols>
    <col min="1" max="1" width="2.26953125" style="1" customWidth="1"/>
    <col min="2" max="2" width="50.7265625" style="1" bestFit="1" customWidth="1"/>
    <col min="3" max="3" width="11.26953125" style="1" customWidth="1"/>
    <col min="4" max="6" width="11.26953125" style="19" customWidth="1"/>
    <col min="7" max="7" width="1.26953125" style="1" customWidth="1"/>
    <col min="8" max="11" width="11.26953125" style="1" customWidth="1"/>
    <col min="12" max="12" width="11.7265625" style="1" bestFit="1" customWidth="1"/>
    <col min="13" max="13" width="1.26953125" style="1" customWidth="1"/>
    <col min="14" max="14" width="11.26953125" style="1" customWidth="1"/>
    <col min="15" max="15" width="12.26953125" style="1" customWidth="1"/>
    <col min="16" max="19" width="13" style="1"/>
    <col min="20" max="21" width="13.7265625" style="1" customWidth="1"/>
    <col min="22" max="22" width="1.6328125" style="1" customWidth="1"/>
    <col min="23" max="26" width="13" style="1"/>
    <col min="27" max="27" width="10.26953125" style="1" bestFit="1" customWidth="1"/>
    <col min="28" max="28" width="10.26953125" style="1" customWidth="1"/>
    <col min="29" max="30" width="13" style="1"/>
    <col min="31" max="31" width="1.6328125" style="1" customWidth="1"/>
    <col min="32" max="36" width="13" style="1"/>
    <col min="37" max="37" width="13" style="1" customWidth="1"/>
    <col min="38" max="39" width="13" style="1" hidden="1" customWidth="1"/>
    <col min="40" max="41" width="13" style="1"/>
    <col min="42" max="42" width="1.6328125" style="1" customWidth="1"/>
    <col min="43" max="48" width="13" style="1"/>
    <col min="49" max="49" width="1.6328125" style="1" customWidth="1"/>
    <col min="50" max="53" width="13" style="1"/>
    <col min="54" max="54" width="1.6328125" style="1" customWidth="1"/>
    <col min="55" max="58" width="13" style="1"/>
    <col min="59" max="59" width="1.6328125" style="1" customWidth="1"/>
    <col min="60" max="63" width="13" style="1"/>
    <col min="64" max="64" width="1.6328125" style="1" customWidth="1"/>
    <col min="65" max="16384" width="13" style="1"/>
  </cols>
  <sheetData>
    <row r="1" spans="2:68" ht="22.5">
      <c r="B1" s="264" t="s">
        <v>0</v>
      </c>
      <c r="C1" s="2"/>
      <c r="D1" s="2"/>
      <c r="E1" s="2"/>
      <c r="F1" s="2"/>
      <c r="G1" s="2"/>
      <c r="H1" s="2"/>
      <c r="I1" s="2"/>
    </row>
    <row r="2" spans="2:68" ht="19">
      <c r="B2" s="265" t="s">
        <v>21</v>
      </c>
      <c r="C2" s="2"/>
      <c r="D2" s="2"/>
      <c r="E2" s="2"/>
      <c r="F2" s="2"/>
      <c r="G2" s="2"/>
      <c r="H2" s="2"/>
      <c r="I2" s="2"/>
    </row>
    <row r="3" spans="2:68" ht="13.5">
      <c r="B3" s="263" t="s">
        <v>1</v>
      </c>
      <c r="C3" s="20"/>
      <c r="D3" s="20"/>
      <c r="E3" s="20"/>
      <c r="F3" s="20"/>
      <c r="G3" s="20"/>
      <c r="H3" s="20"/>
      <c r="I3" s="20"/>
      <c r="J3" s="20"/>
      <c r="K3" s="20"/>
      <c r="L3" s="20"/>
      <c r="BC3" s="269"/>
      <c r="BD3" s="9"/>
    </row>
    <row r="4" spans="2:68" ht="12.75" customHeight="1">
      <c r="B4" s="133"/>
      <c r="C4" s="133"/>
      <c r="D4" s="133"/>
      <c r="E4" s="133"/>
      <c r="F4" s="133"/>
      <c r="G4" s="133"/>
      <c r="H4" s="133"/>
      <c r="I4" s="133"/>
      <c r="J4" s="20"/>
      <c r="K4" s="20"/>
      <c r="L4" s="20"/>
      <c r="N4" s="133"/>
      <c r="O4" s="133"/>
      <c r="BA4" s="9"/>
      <c r="BE4" s="9"/>
      <c r="BF4" s="9"/>
    </row>
    <row r="5" spans="2:68" ht="12.75" customHeight="1">
      <c r="B5" s="138"/>
      <c r="C5" s="138"/>
      <c r="D5" s="138"/>
      <c r="E5" s="138"/>
      <c r="F5" s="138"/>
      <c r="G5" s="138"/>
    </row>
    <row r="6" spans="2:68" ht="21" customHeight="1">
      <c r="B6" s="138"/>
      <c r="C6" s="372" t="s">
        <v>101</v>
      </c>
      <c r="D6" s="373"/>
      <c r="E6" s="373"/>
      <c r="F6" s="373"/>
      <c r="G6" s="11"/>
      <c r="H6" s="372" t="s">
        <v>102</v>
      </c>
      <c r="I6" s="373"/>
      <c r="J6" s="373"/>
      <c r="K6" s="373"/>
      <c r="L6" s="151"/>
      <c r="N6" s="369" t="s">
        <v>176</v>
      </c>
      <c r="O6" s="370"/>
      <c r="P6" s="370"/>
      <c r="Q6" s="370"/>
      <c r="R6" s="370"/>
      <c r="S6" s="370"/>
      <c r="T6" s="370"/>
      <c r="U6" s="370"/>
      <c r="W6" s="365" t="s">
        <v>193</v>
      </c>
      <c r="X6" s="364"/>
      <c r="Y6" s="364"/>
      <c r="Z6" s="364"/>
      <c r="AA6" s="364"/>
      <c r="AB6" s="364"/>
      <c r="AC6" s="364"/>
      <c r="AD6" s="205"/>
      <c r="AE6" s="134"/>
      <c r="AF6" s="365" t="s">
        <v>229</v>
      </c>
      <c r="AG6" s="364"/>
      <c r="AH6" s="364"/>
      <c r="AI6" s="364"/>
      <c r="AJ6" s="364"/>
      <c r="AK6" s="364"/>
      <c r="AL6" s="364"/>
      <c r="AM6" s="364"/>
      <c r="AN6" s="364"/>
      <c r="AO6" s="205"/>
      <c r="AQ6" s="365" t="s">
        <v>250</v>
      </c>
      <c r="AR6" s="364"/>
      <c r="AS6" s="364"/>
      <c r="AT6" s="364"/>
      <c r="AU6" s="364"/>
      <c r="AV6" s="364"/>
      <c r="AX6" s="365" t="s">
        <v>285</v>
      </c>
      <c r="AY6" s="364"/>
      <c r="AZ6" s="364"/>
      <c r="BA6" s="364"/>
      <c r="BC6" s="365" t="s">
        <v>297</v>
      </c>
      <c r="BD6" s="364"/>
      <c r="BE6" s="364"/>
      <c r="BF6" s="364"/>
      <c r="BH6" s="365">
        <v>2022</v>
      </c>
      <c r="BI6" s="364"/>
      <c r="BJ6" s="364"/>
      <c r="BK6" s="364"/>
      <c r="BM6" s="364" t="s">
        <v>352</v>
      </c>
      <c r="BN6" s="364"/>
      <c r="BO6" s="364"/>
      <c r="BP6" s="364"/>
    </row>
    <row r="7" spans="2:68" ht="5.25" customHeight="1" thickBot="1">
      <c r="C7" s="19"/>
      <c r="G7" s="19"/>
      <c r="H7" s="19"/>
      <c r="I7" s="19"/>
      <c r="J7" s="19"/>
      <c r="N7" s="19"/>
      <c r="O7" s="19"/>
    </row>
    <row r="8" spans="2:68" ht="27" thickTop="1" thickBot="1">
      <c r="C8" s="139" t="s">
        <v>99</v>
      </c>
      <c r="D8" s="139" t="s">
        <v>82</v>
      </c>
      <c r="E8" s="139" t="s">
        <v>128</v>
      </c>
      <c r="F8" s="139" t="s">
        <v>152</v>
      </c>
      <c r="G8" s="19"/>
      <c r="H8" s="139" t="s">
        <v>98</v>
      </c>
      <c r="I8" s="139" t="s">
        <v>78</v>
      </c>
      <c r="J8" s="139" t="s">
        <v>129</v>
      </c>
      <c r="K8" s="139" t="s">
        <v>153</v>
      </c>
      <c r="L8" s="139" t="s">
        <v>185</v>
      </c>
      <c r="N8" s="139" t="s">
        <v>177</v>
      </c>
      <c r="O8" s="139" t="s">
        <v>195</v>
      </c>
      <c r="P8" s="139" t="s">
        <v>178</v>
      </c>
      <c r="Q8" s="139" t="s">
        <v>218</v>
      </c>
      <c r="R8" s="139" t="s">
        <v>182</v>
      </c>
      <c r="S8" s="139" t="s">
        <v>219</v>
      </c>
      <c r="T8" s="139" t="s">
        <v>186</v>
      </c>
      <c r="U8" s="139" t="s">
        <v>221</v>
      </c>
      <c r="W8" s="139" t="s">
        <v>194</v>
      </c>
      <c r="X8" s="139" t="s">
        <v>231</v>
      </c>
      <c r="Y8" s="139" t="s">
        <v>209</v>
      </c>
      <c r="Z8" s="139" t="s">
        <v>240</v>
      </c>
      <c r="AA8" s="139" t="s">
        <v>212</v>
      </c>
      <c r="AB8" s="139" t="s">
        <v>244</v>
      </c>
      <c r="AC8" s="139" t="s">
        <v>220</v>
      </c>
      <c r="AD8" s="139" t="s">
        <v>247</v>
      </c>
      <c r="AE8" s="119"/>
      <c r="AF8" s="139" t="s">
        <v>230</v>
      </c>
      <c r="AG8" s="139" t="s">
        <v>245</v>
      </c>
      <c r="AH8" s="139" t="s">
        <v>234</v>
      </c>
      <c r="AI8" s="139" t="s">
        <v>246</v>
      </c>
      <c r="AJ8" s="139" t="s">
        <v>235</v>
      </c>
      <c r="AK8" s="139" t="s">
        <v>269</v>
      </c>
      <c r="AN8" s="139" t="s">
        <v>236</v>
      </c>
      <c r="AO8" s="139" t="s">
        <v>273</v>
      </c>
      <c r="AQ8" s="139" t="s">
        <v>253</v>
      </c>
      <c r="AR8" s="139" t="s">
        <v>270</v>
      </c>
      <c r="AS8" s="139" t="s">
        <v>267</v>
      </c>
      <c r="AT8" s="139" t="s">
        <v>261</v>
      </c>
      <c r="AU8" s="139" t="s">
        <v>268</v>
      </c>
      <c r="AV8" s="139" t="s">
        <v>272</v>
      </c>
      <c r="AX8" s="139" t="s">
        <v>284</v>
      </c>
      <c r="AY8" s="139" t="s">
        <v>287</v>
      </c>
      <c r="AZ8" s="139" t="s">
        <v>293</v>
      </c>
      <c r="BA8" s="139" t="s">
        <v>294</v>
      </c>
      <c r="BC8" s="139" t="s">
        <v>298</v>
      </c>
      <c r="BD8" s="139" t="s">
        <v>302</v>
      </c>
      <c r="BE8" s="139" t="s">
        <v>305</v>
      </c>
      <c r="BF8" s="139" t="s">
        <v>307</v>
      </c>
      <c r="BH8" s="139" t="s">
        <v>317</v>
      </c>
      <c r="BI8" s="139" t="s">
        <v>321</v>
      </c>
      <c r="BJ8" s="139" t="s">
        <v>334</v>
      </c>
      <c r="BK8" s="139" t="s">
        <v>339</v>
      </c>
      <c r="BM8" s="139" t="s">
        <v>354</v>
      </c>
      <c r="BN8" s="139" t="s">
        <v>371</v>
      </c>
      <c r="BO8" s="139" t="s">
        <v>372</v>
      </c>
      <c r="BP8" s="139" t="s">
        <v>379</v>
      </c>
    </row>
    <row r="9" spans="2:68" ht="4.5" customHeight="1" thickTop="1">
      <c r="G9" s="19"/>
      <c r="I9" s="19"/>
    </row>
    <row r="10" spans="2:68" ht="16.5" customHeight="1">
      <c r="B10" s="2" t="s">
        <v>141</v>
      </c>
      <c r="C10" s="38">
        <f>SUM(C12:C15)-C16</f>
        <v>2292775</v>
      </c>
      <c r="D10" s="38">
        <f>SUM(D12:D15)-D16</f>
        <v>2545153</v>
      </c>
      <c r="E10" s="38">
        <f>SUM(E12:E15)-E16</f>
        <v>2234744</v>
      </c>
      <c r="F10" s="59">
        <f>SUM(F12:F15)-F16</f>
        <v>2223617</v>
      </c>
      <c r="G10" s="75"/>
      <c r="H10" s="38">
        <f>SUM(H12:H15)-H16</f>
        <v>2640110</v>
      </c>
      <c r="I10" s="38">
        <f>SUM(I12:I15)-I16</f>
        <v>2849871</v>
      </c>
      <c r="J10" s="38">
        <f>SUM(J12:J15)-J16</f>
        <v>3212391</v>
      </c>
      <c r="K10" s="38">
        <f>SUM(K12:K15)-K16</f>
        <v>3877306</v>
      </c>
      <c r="L10" s="38">
        <f>SUM(L12:L15)-L16</f>
        <v>3997932</v>
      </c>
      <c r="M10" s="38"/>
      <c r="N10" s="38">
        <f t="shared" ref="N10:U10" si="0">SUM(N12:N15)-N16</f>
        <v>4056133</v>
      </c>
      <c r="O10" s="38">
        <f t="shared" si="0"/>
        <v>4042625</v>
      </c>
      <c r="P10" s="38">
        <f t="shared" si="0"/>
        <v>3395640</v>
      </c>
      <c r="Q10" s="38">
        <f t="shared" si="0"/>
        <v>3384378</v>
      </c>
      <c r="R10" s="38">
        <f t="shared" si="0"/>
        <v>3362235</v>
      </c>
      <c r="S10" s="38">
        <f t="shared" si="0"/>
        <v>3401921</v>
      </c>
      <c r="T10" s="38">
        <f t="shared" si="0"/>
        <v>3738876</v>
      </c>
      <c r="U10" s="38">
        <f t="shared" si="0"/>
        <v>3723960</v>
      </c>
      <c r="W10" s="38">
        <f t="shared" ref="W10:AD10" si="1">SUM(W12:W15)-W16</f>
        <v>3357194</v>
      </c>
      <c r="X10" s="38">
        <f t="shared" si="1"/>
        <v>3357194</v>
      </c>
      <c r="Y10" s="38">
        <f t="shared" si="1"/>
        <v>3565133</v>
      </c>
      <c r="Z10" s="38">
        <f t="shared" si="1"/>
        <v>3565133</v>
      </c>
      <c r="AA10" s="38">
        <f t="shared" si="1"/>
        <v>4066042</v>
      </c>
      <c r="AB10" s="38">
        <f t="shared" si="1"/>
        <v>4066041</v>
      </c>
      <c r="AC10" s="38">
        <f t="shared" si="1"/>
        <v>3585209</v>
      </c>
      <c r="AD10" s="38">
        <f t="shared" si="1"/>
        <v>3585211</v>
      </c>
      <c r="AE10" s="59"/>
      <c r="AF10" s="38">
        <f t="shared" ref="AF10:AK10" si="2">SUM(AF12:AF15)-AF16</f>
        <v>3310546</v>
      </c>
      <c r="AG10" s="38">
        <f t="shared" si="2"/>
        <v>3307952</v>
      </c>
      <c r="AH10" s="38">
        <f t="shared" si="2"/>
        <v>3617110</v>
      </c>
      <c r="AI10" s="38">
        <f t="shared" si="2"/>
        <v>3612406</v>
      </c>
      <c r="AJ10" s="38">
        <f t="shared" si="2"/>
        <v>3638242</v>
      </c>
      <c r="AK10" s="38">
        <f t="shared" si="2"/>
        <v>3634422</v>
      </c>
      <c r="AN10" s="38">
        <f>SUM(AN12:AN15)-AN16</f>
        <v>3748115</v>
      </c>
      <c r="AO10" s="38">
        <f>SUM(AO12:AO15)-AO16</f>
        <v>3739895</v>
      </c>
      <c r="AQ10" s="38">
        <f t="shared" ref="AQ10:AV10" si="3">SUM(AQ12:AQ15)-AQ16</f>
        <v>3721316</v>
      </c>
      <c r="AR10" s="38">
        <f t="shared" si="3"/>
        <v>3714904</v>
      </c>
      <c r="AS10" s="38">
        <f t="shared" si="3"/>
        <v>3860566</v>
      </c>
      <c r="AT10" s="38">
        <f t="shared" si="3"/>
        <v>3915194</v>
      </c>
      <c r="AU10" s="38">
        <f t="shared" si="3"/>
        <v>5227687</v>
      </c>
      <c r="AV10" s="38">
        <f t="shared" si="3"/>
        <v>3940804</v>
      </c>
      <c r="AX10" s="38">
        <v>3615782</v>
      </c>
      <c r="AY10" s="253">
        <v>3345809</v>
      </c>
      <c r="AZ10" s="253">
        <v>3453183</v>
      </c>
      <c r="BA10" s="253">
        <f>SUM(BA12:BA15)-BA16</f>
        <v>3575749</v>
      </c>
      <c r="BC10" s="253">
        <f>SUM(BC12:BC15)-BC16</f>
        <v>3733014</v>
      </c>
      <c r="BD10" s="253">
        <f>SUM(BD12:BD15)-BD16</f>
        <v>4026624</v>
      </c>
      <c r="BE10" s="253">
        <f>SUM(BE12:BE15)-BE16</f>
        <v>4115415</v>
      </c>
      <c r="BF10" s="253">
        <f>SUM(BF12:BF15)-BF16</f>
        <v>4434066</v>
      </c>
      <c r="BH10" s="253">
        <f>SUM(BH12:BH15)-BH16</f>
        <v>4613707</v>
      </c>
      <c r="BI10" s="253">
        <f>SUM(BI12:BI15)-BI16</f>
        <v>5898089</v>
      </c>
      <c r="BJ10" s="253">
        <v>5088106</v>
      </c>
      <c r="BK10" s="253">
        <f>SUM(BK12:BK15)-BK16</f>
        <v>5739804</v>
      </c>
      <c r="BL10" s="9"/>
      <c r="BM10" s="253">
        <v>5744903</v>
      </c>
      <c r="BN10" s="253">
        <v>6392395</v>
      </c>
      <c r="BO10" s="253">
        <f>SUM(BO12:BO15)-BO16</f>
        <v>4844339</v>
      </c>
      <c r="BP10" s="253">
        <v>5611464</v>
      </c>
    </row>
    <row r="11" spans="2:68" ht="16.5" hidden="1" customHeight="1">
      <c r="B11" s="76" t="s">
        <v>48</v>
      </c>
      <c r="C11" s="77">
        <v>1115.1199999999999</v>
      </c>
      <c r="D11" s="77">
        <v>1367.51</v>
      </c>
      <c r="E11" s="77">
        <v>1143.54</v>
      </c>
      <c r="F11" s="61">
        <v>911.8</v>
      </c>
      <c r="G11" s="75"/>
      <c r="H11" s="77">
        <v>1057.43</v>
      </c>
      <c r="I11" s="77">
        <v>1140.18</v>
      </c>
      <c r="J11" s="77">
        <v>1092.03</v>
      </c>
      <c r="K11" s="77">
        <v>1267.8699999999999</v>
      </c>
      <c r="L11" s="77" t="e">
        <f>+#REF!-J11-I11-H11</f>
        <v>#REF!</v>
      </c>
      <c r="N11" s="77">
        <v>1057.43</v>
      </c>
      <c r="O11" s="77">
        <v>1057.43</v>
      </c>
      <c r="P11" s="77">
        <v>1057.43</v>
      </c>
      <c r="Q11" s="77">
        <v>1057.43</v>
      </c>
      <c r="R11" s="77">
        <v>1057.43</v>
      </c>
      <c r="S11" s="77">
        <v>1057.43</v>
      </c>
      <c r="T11" s="77"/>
      <c r="U11" s="77"/>
      <c r="W11" s="77">
        <v>1057.43</v>
      </c>
      <c r="X11" s="77">
        <v>1057.43</v>
      </c>
      <c r="Y11" s="77">
        <v>1057.43</v>
      </c>
      <c r="Z11" s="77">
        <v>1057.43</v>
      </c>
      <c r="AA11" s="77">
        <v>1057.43</v>
      </c>
      <c r="AB11" s="77">
        <v>1057.43</v>
      </c>
      <c r="AC11" s="77">
        <v>1057.43</v>
      </c>
      <c r="AD11" s="77">
        <v>1057.43</v>
      </c>
      <c r="AE11" s="61"/>
      <c r="AF11" s="77">
        <v>1057.43</v>
      </c>
      <c r="AG11" s="77">
        <v>1057.43</v>
      </c>
      <c r="AH11" s="77">
        <v>1057.43</v>
      </c>
      <c r="AI11" s="77">
        <v>1057.43</v>
      </c>
      <c r="AJ11" s="77">
        <v>1057.43</v>
      </c>
      <c r="AK11" s="77">
        <v>1057.43</v>
      </c>
      <c r="AN11" s="77">
        <v>1057.43</v>
      </c>
      <c r="AO11" s="77">
        <v>1057.43</v>
      </c>
      <c r="AQ11" s="77">
        <v>1057.43</v>
      </c>
      <c r="AR11" s="77">
        <v>1057.43</v>
      </c>
      <c r="AS11" s="77">
        <v>1057.43</v>
      </c>
      <c r="AT11" s="77">
        <v>1057.43</v>
      </c>
      <c r="AU11" s="77">
        <v>1057.43</v>
      </c>
      <c r="AV11" s="77">
        <v>1057.43</v>
      </c>
      <c r="AX11" s="77">
        <v>1057.43</v>
      </c>
      <c r="AY11" s="254">
        <v>1057.43</v>
      </c>
      <c r="AZ11" s="254">
        <v>1057.43</v>
      </c>
      <c r="BA11" s="254">
        <v>1057.43</v>
      </c>
      <c r="BC11" s="254">
        <v>1057.43</v>
      </c>
      <c r="BD11" s="254">
        <v>1057.43</v>
      </c>
      <c r="BE11" s="254">
        <v>1057.43</v>
      </c>
      <c r="BF11" s="254">
        <v>1057.43</v>
      </c>
      <c r="BH11" s="254">
        <v>1057.43</v>
      </c>
      <c r="BI11" s="254"/>
      <c r="BJ11" s="254"/>
      <c r="BK11" s="254"/>
      <c r="BM11" s="254"/>
      <c r="BN11" s="254"/>
      <c r="BO11" s="254"/>
      <c r="BP11" s="254"/>
    </row>
    <row r="12" spans="2:68" ht="16.5" customHeight="1">
      <c r="B12" s="8" t="s">
        <v>142</v>
      </c>
      <c r="C12" s="29">
        <v>1992290</v>
      </c>
      <c r="D12" s="29">
        <v>2374522</v>
      </c>
      <c r="E12" s="29">
        <v>2156742</v>
      </c>
      <c r="F12" s="29">
        <f>1861580+1+148990</f>
        <v>2010571</v>
      </c>
      <c r="G12" s="19"/>
      <c r="H12" s="29">
        <f>2473610+1</f>
        <v>2473611</v>
      </c>
      <c r="I12" s="29">
        <f>2620500-1</f>
        <v>2620499</v>
      </c>
      <c r="J12" s="29">
        <v>3121999</v>
      </c>
      <c r="K12" s="29">
        <f>3699920</f>
        <v>3699920</v>
      </c>
      <c r="L12" s="29">
        <v>3693705</v>
      </c>
      <c r="N12" s="29">
        <v>3759881</v>
      </c>
      <c r="O12" s="29">
        <v>3759881</v>
      </c>
      <c r="P12" s="29">
        <v>3268366</v>
      </c>
      <c r="Q12" s="29">
        <f>3268365</f>
        <v>3268365</v>
      </c>
      <c r="R12" s="29">
        <v>3105623</v>
      </c>
      <c r="S12" s="29">
        <v>3105623</v>
      </c>
      <c r="T12" s="29">
        <v>3001173</v>
      </c>
      <c r="U12" s="29">
        <v>3001173</v>
      </c>
      <c r="W12" s="29">
        <v>3059897</v>
      </c>
      <c r="X12" s="29">
        <v>3059897</v>
      </c>
      <c r="Y12" s="29">
        <v>3202231</v>
      </c>
      <c r="Z12" s="29">
        <v>3202231</v>
      </c>
      <c r="AA12" s="29">
        <v>3264247</v>
      </c>
      <c r="AB12" s="29">
        <v>3264247</v>
      </c>
      <c r="AC12" s="29">
        <v>3222833</v>
      </c>
      <c r="AD12" s="29">
        <f>3222833-1</f>
        <v>3222832</v>
      </c>
      <c r="AE12" s="29"/>
      <c r="AF12" s="29">
        <v>3073465</v>
      </c>
      <c r="AG12" s="29">
        <v>3070871</v>
      </c>
      <c r="AH12" s="29">
        <f>3298956+1</f>
        <v>3298957</v>
      </c>
      <c r="AI12" s="29">
        <v>3294253</v>
      </c>
      <c r="AJ12" s="29">
        <v>3439736</v>
      </c>
      <c r="AK12" s="29">
        <v>3435916</v>
      </c>
      <c r="AN12" s="29">
        <f>3399975+1+1</f>
        <v>3399977</v>
      </c>
      <c r="AO12" s="29">
        <f>3391756+1</f>
        <v>3391757</v>
      </c>
      <c r="AQ12" s="29">
        <v>3391160</v>
      </c>
      <c r="AR12" s="29">
        <v>3384748</v>
      </c>
      <c r="AS12" s="29">
        <f>3618287+1</f>
        <v>3618288</v>
      </c>
      <c r="AT12" s="29">
        <f>3610233+1+1</f>
        <v>3610235</v>
      </c>
      <c r="AU12" s="29">
        <v>3826892</v>
      </c>
      <c r="AV12" s="29">
        <v>3671283</v>
      </c>
      <c r="AX12" s="29">
        <v>3452172</v>
      </c>
      <c r="AY12" s="153">
        <v>3155161</v>
      </c>
      <c r="AZ12" s="153">
        <v>3354549</v>
      </c>
      <c r="BA12" s="153">
        <v>3476079</v>
      </c>
      <c r="BC12" s="153">
        <v>3574647</v>
      </c>
      <c r="BD12" s="153">
        <v>3708297</v>
      </c>
      <c r="BE12" s="153">
        <v>3842351</v>
      </c>
      <c r="BF12" s="153">
        <v>4149579</v>
      </c>
      <c r="BH12" s="153">
        <v>4313197</v>
      </c>
      <c r="BI12" s="153">
        <f>4508131+1</f>
        <v>4508132</v>
      </c>
      <c r="BJ12" s="153">
        <v>4756508</v>
      </c>
      <c r="BK12" s="153">
        <f>5351083-1</f>
        <v>5351082</v>
      </c>
      <c r="BL12" s="9"/>
      <c r="BM12" s="153">
        <v>5288148</v>
      </c>
      <c r="BN12" s="153">
        <v>5365605</v>
      </c>
      <c r="BO12" s="153">
        <v>4669625</v>
      </c>
      <c r="BP12" s="153">
        <v>4673162</v>
      </c>
    </row>
    <row r="13" spans="2:68" ht="16.5" customHeight="1">
      <c r="B13" s="8" t="s">
        <v>49</v>
      </c>
      <c r="C13" s="29">
        <f>129401+41394</f>
        <v>170795</v>
      </c>
      <c r="D13" s="29">
        <f>103473-5545</f>
        <v>97928</v>
      </c>
      <c r="E13" s="29">
        <f>80766+1650</f>
        <v>82416</v>
      </c>
      <c r="F13" s="29">
        <f>-10405-14670</f>
        <v>-25075</v>
      </c>
      <c r="G13" s="19"/>
      <c r="H13" s="29">
        <f>51878+19502</f>
        <v>71380</v>
      </c>
      <c r="I13" s="29">
        <f>88150+1438</f>
        <v>89588</v>
      </c>
      <c r="J13" s="29">
        <f>237+1533</f>
        <v>1770</v>
      </c>
      <c r="K13" s="29">
        <f>7882-395</f>
        <v>7487</v>
      </c>
      <c r="L13" s="29">
        <v>8710</v>
      </c>
      <c r="N13" s="29">
        <v>61822</v>
      </c>
      <c r="O13" s="29">
        <v>61043</v>
      </c>
      <c r="P13" s="29">
        <v>24150</v>
      </c>
      <c r="Q13" s="29">
        <f>23394+1</f>
        <v>23395</v>
      </c>
      <c r="R13" s="29">
        <f>138944-17</f>
        <v>138927</v>
      </c>
      <c r="S13" s="29">
        <f>141845-17</f>
        <v>141828</v>
      </c>
      <c r="T13" s="29">
        <f>452070+1532</f>
        <v>453602</v>
      </c>
      <c r="U13" s="29">
        <f>450703+1532</f>
        <v>452235</v>
      </c>
      <c r="W13" s="29">
        <v>71238</v>
      </c>
      <c r="X13" s="29">
        <v>71238</v>
      </c>
      <c r="Y13" s="29">
        <f>111618+196</f>
        <v>111814</v>
      </c>
      <c r="Z13" s="29">
        <f>111618+196</f>
        <v>111814</v>
      </c>
      <c r="AA13" s="29">
        <v>439836</v>
      </c>
      <c r="AB13" s="29">
        <f>439836-1</f>
        <v>439835</v>
      </c>
      <c r="AC13" s="29">
        <f>71207+264</f>
        <v>71471</v>
      </c>
      <c r="AD13" s="29">
        <f>71207+264+1</f>
        <v>71472</v>
      </c>
      <c r="AE13" s="29"/>
      <c r="AF13" s="29">
        <v>86713</v>
      </c>
      <c r="AG13" s="29">
        <v>86713</v>
      </c>
      <c r="AH13" s="29">
        <v>45032</v>
      </c>
      <c r="AI13" s="29">
        <v>45032</v>
      </c>
      <c r="AJ13" s="29">
        <v>58866</v>
      </c>
      <c r="AK13" s="29">
        <v>58866</v>
      </c>
      <c r="AN13" s="29">
        <f>49321+1373</f>
        <v>50694</v>
      </c>
      <c r="AO13" s="29">
        <f>49321+1373</f>
        <v>50694</v>
      </c>
      <c r="AQ13" s="29">
        <v>90744</v>
      </c>
      <c r="AR13" s="29">
        <v>90744</v>
      </c>
      <c r="AS13" s="29">
        <v>41223</v>
      </c>
      <c r="AT13" s="29">
        <v>103904</v>
      </c>
      <c r="AU13" s="29">
        <v>1134165</v>
      </c>
      <c r="AV13" s="29">
        <v>45886</v>
      </c>
      <c r="AW13" s="9"/>
      <c r="AX13" s="29">
        <v>120584</v>
      </c>
      <c r="AY13" s="153">
        <v>70177</v>
      </c>
      <c r="AZ13" s="153">
        <v>52711</v>
      </c>
      <c r="BA13" s="153">
        <v>54121</v>
      </c>
      <c r="BB13" s="9"/>
      <c r="BC13" s="153">
        <v>90812</v>
      </c>
      <c r="BD13" s="153">
        <v>55087</v>
      </c>
      <c r="BE13" s="153">
        <v>57653</v>
      </c>
      <c r="BF13" s="153">
        <f>44157-1</f>
        <v>44156</v>
      </c>
      <c r="BG13" s="9"/>
      <c r="BH13" s="153">
        <v>48859</v>
      </c>
      <c r="BI13" s="153">
        <f>1109972-1</f>
        <v>1109971</v>
      </c>
      <c r="BJ13" s="153">
        <v>1928</v>
      </c>
      <c r="BK13" s="153">
        <v>26069</v>
      </c>
      <c r="BL13" s="9"/>
      <c r="BM13" s="153">
        <v>66722</v>
      </c>
      <c r="BN13" s="153">
        <v>916860</v>
      </c>
      <c r="BO13" s="153">
        <v>4783</v>
      </c>
      <c r="BP13" s="153">
        <v>775910</v>
      </c>
    </row>
    <row r="14" spans="2:68" ht="16.5" customHeight="1">
      <c r="B14" s="8" t="s">
        <v>27</v>
      </c>
      <c r="C14" s="29">
        <v>28578</v>
      </c>
      <c r="D14" s="29">
        <v>12288</v>
      </c>
      <c r="E14" s="29">
        <v>5193</v>
      </c>
      <c r="F14" s="29">
        <f>26088-1</f>
        <v>26087</v>
      </c>
      <c r="G14" s="19"/>
      <c r="H14" s="29">
        <v>10870</v>
      </c>
      <c r="I14" s="29">
        <v>16535</v>
      </c>
      <c r="J14" s="29">
        <v>46411</v>
      </c>
      <c r="K14" s="29">
        <v>224999</v>
      </c>
      <c r="L14" s="29">
        <v>328551</v>
      </c>
      <c r="N14" s="29">
        <v>115479</v>
      </c>
      <c r="O14" s="29">
        <v>115479</v>
      </c>
      <c r="P14" s="29">
        <v>10460</v>
      </c>
      <c r="Q14" s="29">
        <v>10460</v>
      </c>
      <c r="R14" s="29">
        <v>59828</v>
      </c>
      <c r="S14" s="29">
        <v>59828</v>
      </c>
      <c r="T14" s="29">
        <v>183614</v>
      </c>
      <c r="U14" s="29">
        <v>183614</v>
      </c>
      <c r="W14" s="29">
        <v>127058</v>
      </c>
      <c r="X14" s="29">
        <v>127058</v>
      </c>
      <c r="Y14" s="29">
        <v>234338</v>
      </c>
      <c r="Z14" s="29">
        <v>234338</v>
      </c>
      <c r="AA14" s="29">
        <v>284908</v>
      </c>
      <c r="AB14" s="29">
        <v>284908</v>
      </c>
      <c r="AC14" s="29">
        <v>246472</v>
      </c>
      <c r="AD14" s="29">
        <v>246472</v>
      </c>
      <c r="AE14" s="29"/>
      <c r="AF14" s="29">
        <v>114913</v>
      </c>
      <c r="AG14" s="29">
        <f>114913-1024</f>
        <v>113889</v>
      </c>
      <c r="AH14" s="29">
        <f>179778+1</f>
        <v>179779</v>
      </c>
      <c r="AI14" s="29">
        <f>179778+1+1024</f>
        <v>180803</v>
      </c>
      <c r="AJ14" s="29">
        <v>110811</v>
      </c>
      <c r="AK14" s="29">
        <v>110811</v>
      </c>
      <c r="AN14" s="29">
        <v>288479</v>
      </c>
      <c r="AO14" s="29">
        <v>288479</v>
      </c>
      <c r="AQ14" s="29">
        <v>127462</v>
      </c>
      <c r="AR14" s="29">
        <v>127462</v>
      </c>
      <c r="AS14" s="29">
        <v>124351</v>
      </c>
      <c r="AT14" s="29">
        <v>124351</v>
      </c>
      <c r="AU14" s="29">
        <v>177656</v>
      </c>
      <c r="AV14" s="29">
        <v>258046</v>
      </c>
      <c r="AX14" s="29">
        <v>133480</v>
      </c>
      <c r="AY14" s="153">
        <v>83247</v>
      </c>
      <c r="AZ14" s="153">
        <v>60061</v>
      </c>
      <c r="BA14" s="153">
        <v>144687</v>
      </c>
      <c r="BC14" s="153">
        <v>83836</v>
      </c>
      <c r="BD14" s="153">
        <v>200422</v>
      </c>
      <c r="BE14" s="153">
        <f>136057-1</f>
        <v>136056</v>
      </c>
      <c r="BF14" s="153">
        <f>201350+1</f>
        <v>201351</v>
      </c>
      <c r="BH14" s="153">
        <v>180506</v>
      </c>
      <c r="BI14" s="153">
        <v>210080</v>
      </c>
      <c r="BJ14" s="153">
        <v>142535</v>
      </c>
      <c r="BK14" s="153">
        <v>227868</v>
      </c>
      <c r="BL14" s="9"/>
      <c r="BM14" s="153">
        <v>223016</v>
      </c>
      <c r="BN14" s="153">
        <v>168244</v>
      </c>
      <c r="BO14" s="153">
        <v>75539</v>
      </c>
      <c r="BP14" s="153">
        <v>77239</v>
      </c>
    </row>
    <row r="15" spans="2:68" ht="25">
      <c r="B15" s="8" t="s">
        <v>143</v>
      </c>
      <c r="C15" s="29">
        <f>203796-58</f>
        <v>203738</v>
      </c>
      <c r="D15" s="29">
        <f>167817+1913</f>
        <v>169730</v>
      </c>
      <c r="E15" s="29">
        <f>87705+1335</f>
        <v>89040</v>
      </c>
      <c r="F15" s="29">
        <f>-42376+4793</f>
        <v>-37583</v>
      </c>
      <c r="G15" s="19"/>
      <c r="H15" s="29">
        <v>101940</v>
      </c>
      <c r="I15" s="29">
        <f>147307+829</f>
        <v>148136</v>
      </c>
      <c r="J15" s="29">
        <f>80792-1711</f>
        <v>79081</v>
      </c>
      <c r="K15" s="29">
        <f>-31596+94+1</f>
        <v>-31501</v>
      </c>
      <c r="L15" s="29">
        <v>-9435</v>
      </c>
      <c r="N15" s="29">
        <v>167011</v>
      </c>
      <c r="O15" s="29">
        <v>154281</v>
      </c>
      <c r="P15" s="29">
        <f>137323-1</f>
        <v>137322</v>
      </c>
      <c r="Q15" s="29">
        <v>126817</v>
      </c>
      <c r="R15" s="29">
        <f>103988-468</f>
        <v>103520</v>
      </c>
      <c r="S15" s="29">
        <f>140773-468</f>
        <v>140305</v>
      </c>
      <c r="T15" s="29">
        <v>132145</v>
      </c>
      <c r="U15" s="29">
        <f>117208+1389-1</f>
        <v>118596</v>
      </c>
      <c r="W15" s="29">
        <v>129970</v>
      </c>
      <c r="X15" s="29">
        <v>129970</v>
      </c>
      <c r="Y15" s="29">
        <f>77954-1386</f>
        <v>76568</v>
      </c>
      <c r="Z15" s="29">
        <f>77954-1386</f>
        <v>76568</v>
      </c>
      <c r="AA15" s="29">
        <v>130368</v>
      </c>
      <c r="AB15" s="29">
        <v>130368</v>
      </c>
      <c r="AC15" s="29">
        <f>102341-3524</f>
        <v>98817</v>
      </c>
      <c r="AD15" s="29">
        <f>102341-3524+1</f>
        <v>98818</v>
      </c>
      <c r="AE15" s="29"/>
      <c r="AF15" s="29">
        <v>111887</v>
      </c>
      <c r="AG15" s="29">
        <v>111887</v>
      </c>
      <c r="AH15" s="29">
        <v>143208</v>
      </c>
      <c r="AI15" s="29">
        <v>143208</v>
      </c>
      <c r="AJ15" s="29">
        <f>137782+1</f>
        <v>137783</v>
      </c>
      <c r="AK15" s="29">
        <f>137782+1</f>
        <v>137783</v>
      </c>
      <c r="AN15" s="29">
        <f>94488-2184-1</f>
        <v>92303</v>
      </c>
      <c r="AO15" s="29">
        <f>94488-2184-1</f>
        <v>92303</v>
      </c>
      <c r="AQ15" s="29">
        <v>176866</v>
      </c>
      <c r="AR15" s="29">
        <v>176866</v>
      </c>
      <c r="AS15" s="29">
        <f>141946-1</f>
        <v>141945</v>
      </c>
      <c r="AT15" s="29">
        <f>141946-1</f>
        <v>141945</v>
      </c>
      <c r="AU15" s="29">
        <v>148648</v>
      </c>
      <c r="AV15" s="29">
        <v>21304</v>
      </c>
      <c r="AX15" s="29">
        <v>-35478</v>
      </c>
      <c r="AY15" s="153">
        <v>72921</v>
      </c>
      <c r="AZ15" s="153">
        <v>34894</v>
      </c>
      <c r="BA15" s="153">
        <v>-41977</v>
      </c>
      <c r="BC15" s="153">
        <v>33765</v>
      </c>
      <c r="BD15" s="153">
        <v>117246</v>
      </c>
      <c r="BE15" s="153">
        <v>141236</v>
      </c>
      <c r="BF15" s="153">
        <v>101985</v>
      </c>
      <c r="BH15" s="153">
        <v>136898</v>
      </c>
      <c r="BI15" s="153">
        <v>146077</v>
      </c>
      <c r="BJ15" s="153">
        <v>260996</v>
      </c>
      <c r="BK15" s="153">
        <f>215301+1</f>
        <v>215302</v>
      </c>
      <c r="BL15" s="9"/>
      <c r="BM15" s="153">
        <v>251006</v>
      </c>
      <c r="BN15" s="153">
        <v>18635</v>
      </c>
      <c r="BO15" s="153">
        <v>163718</v>
      </c>
      <c r="BP15" s="153">
        <v>153063</v>
      </c>
    </row>
    <row r="16" spans="2:68" ht="16.5" customHeight="1">
      <c r="B16" s="8" t="s">
        <v>41</v>
      </c>
      <c r="C16" s="29">
        <v>102626</v>
      </c>
      <c r="D16" s="29">
        <v>109315</v>
      </c>
      <c r="E16" s="29">
        <v>98647</v>
      </c>
      <c r="F16" s="29">
        <v>-249617</v>
      </c>
      <c r="G16" s="19"/>
      <c r="H16" s="29">
        <v>17691</v>
      </c>
      <c r="I16" s="29">
        <v>24887</v>
      </c>
      <c r="J16" s="29">
        <v>36870</v>
      </c>
      <c r="K16" s="29">
        <f>23598+1</f>
        <v>23599</v>
      </c>
      <c r="L16" s="29">
        <v>23599</v>
      </c>
      <c r="N16" s="29">
        <v>48060</v>
      </c>
      <c r="O16" s="29">
        <v>48059</v>
      </c>
      <c r="P16" s="29">
        <v>44658</v>
      </c>
      <c r="Q16" s="29">
        <f>44658+1</f>
        <v>44659</v>
      </c>
      <c r="R16" s="29">
        <v>45663</v>
      </c>
      <c r="S16" s="29">
        <v>45663</v>
      </c>
      <c r="T16" s="29">
        <v>31658</v>
      </c>
      <c r="U16" s="29">
        <v>31658</v>
      </c>
      <c r="W16" s="29">
        <v>30969</v>
      </c>
      <c r="X16" s="29">
        <v>30969</v>
      </c>
      <c r="Y16" s="29">
        <v>59818</v>
      </c>
      <c r="Z16" s="29">
        <v>59818</v>
      </c>
      <c r="AA16" s="29">
        <v>53317</v>
      </c>
      <c r="AB16" s="29">
        <v>53317</v>
      </c>
      <c r="AC16" s="29">
        <v>54384</v>
      </c>
      <c r="AD16" s="29">
        <f>54384-1</f>
        <v>54383</v>
      </c>
      <c r="AE16" s="29"/>
      <c r="AF16" s="29">
        <v>76432</v>
      </c>
      <c r="AG16" s="29">
        <f>76432-1024</f>
        <v>75408</v>
      </c>
      <c r="AH16" s="29">
        <v>49866</v>
      </c>
      <c r="AI16" s="29">
        <f>49866+1024</f>
        <v>50890</v>
      </c>
      <c r="AJ16" s="29">
        <v>108954</v>
      </c>
      <c r="AK16" s="29">
        <v>108954</v>
      </c>
      <c r="AN16" s="29">
        <v>83338</v>
      </c>
      <c r="AO16" s="29">
        <v>83338</v>
      </c>
      <c r="AQ16" s="29">
        <v>64916</v>
      </c>
      <c r="AR16" s="29">
        <v>64916</v>
      </c>
      <c r="AS16" s="29">
        <v>65241</v>
      </c>
      <c r="AT16" s="29">
        <v>65241</v>
      </c>
      <c r="AU16" s="29">
        <v>59674</v>
      </c>
      <c r="AV16" s="29">
        <v>55715</v>
      </c>
      <c r="AX16" s="29">
        <v>54976</v>
      </c>
      <c r="AY16" s="153">
        <v>35697</v>
      </c>
      <c r="AZ16" s="153">
        <v>49032</v>
      </c>
      <c r="BA16" s="153">
        <v>57161</v>
      </c>
      <c r="BC16" s="44">
        <v>50046</v>
      </c>
      <c r="BD16" s="44">
        <v>54428</v>
      </c>
      <c r="BE16" s="44">
        <v>61881</v>
      </c>
      <c r="BF16" s="44">
        <v>63005</v>
      </c>
      <c r="BH16" s="44">
        <v>65753</v>
      </c>
      <c r="BI16" s="44">
        <f>76172-1</f>
        <v>76171</v>
      </c>
      <c r="BJ16" s="44">
        <v>73861</v>
      </c>
      <c r="BK16" s="44">
        <f>80516+1</f>
        <v>80517</v>
      </c>
      <c r="BL16" s="9"/>
      <c r="BM16" s="44">
        <v>83989</v>
      </c>
      <c r="BN16" s="44">
        <v>76949</v>
      </c>
      <c r="BO16" s="44">
        <v>69326</v>
      </c>
      <c r="BP16" s="44">
        <v>67910</v>
      </c>
    </row>
    <row r="17" spans="2:68" ht="6.75" customHeight="1">
      <c r="C17" s="19"/>
      <c r="D17" s="44"/>
      <c r="E17" s="44"/>
      <c r="F17" s="44"/>
      <c r="G17" s="19"/>
      <c r="H17" s="44"/>
      <c r="I17" s="44"/>
      <c r="J17" s="44"/>
      <c r="K17" s="44"/>
      <c r="L17" s="44"/>
      <c r="N17" s="44"/>
      <c r="O17" s="44"/>
      <c r="P17" s="44"/>
      <c r="Q17" s="44"/>
      <c r="R17" s="44"/>
      <c r="S17" s="44"/>
      <c r="T17" s="44"/>
      <c r="U17" s="44"/>
      <c r="W17" s="44"/>
      <c r="X17" s="44"/>
      <c r="Y17" s="44"/>
      <c r="Z17" s="44"/>
      <c r="AA17" s="44"/>
      <c r="AB17" s="44"/>
      <c r="AC17" s="44"/>
      <c r="AD17" s="44"/>
      <c r="AE17" s="44"/>
      <c r="AF17" s="44"/>
      <c r="AG17" s="44"/>
      <c r="AH17" s="44"/>
      <c r="AI17" s="44"/>
      <c r="AJ17" s="44"/>
      <c r="AK17" s="44"/>
      <c r="AN17" s="44"/>
      <c r="AO17" s="44"/>
      <c r="AQ17" s="44"/>
      <c r="AR17" s="44"/>
      <c r="AS17" s="44"/>
      <c r="AT17" s="44"/>
      <c r="AU17" s="44"/>
      <c r="AV17" s="44"/>
      <c r="AX17" s="44"/>
      <c r="AY17" s="44"/>
      <c r="AZ17" s="44"/>
      <c r="BA17" s="44"/>
      <c r="BL17" s="9"/>
    </row>
    <row r="18" spans="2:68" ht="16.5" customHeight="1">
      <c r="B18" s="2" t="s">
        <v>26</v>
      </c>
      <c r="C18" s="58">
        <f>SUM(C19:C22)</f>
        <v>1395579</v>
      </c>
      <c r="D18" s="59">
        <f>SUM(D19:D22)</f>
        <v>1718950.8439674901</v>
      </c>
      <c r="E18" s="59">
        <f>SUM(E19:E22)</f>
        <v>1646441</v>
      </c>
      <c r="F18" s="59">
        <f>SUM(F19:F22)</f>
        <v>1815266</v>
      </c>
      <c r="G18" s="19"/>
      <c r="H18" s="59">
        <f>SUM(H19:H22)</f>
        <v>1932374</v>
      </c>
      <c r="I18" s="59">
        <f t="shared" ref="I18:M18" si="4">SUM(I19:I22)</f>
        <v>2028265</v>
      </c>
      <c r="J18" s="59">
        <f t="shared" si="4"/>
        <v>2441431</v>
      </c>
      <c r="K18" s="59">
        <f t="shared" si="4"/>
        <v>3228975</v>
      </c>
      <c r="L18" s="59">
        <f t="shared" si="4"/>
        <v>3322002</v>
      </c>
      <c r="M18" s="59">
        <f t="shared" si="4"/>
        <v>0</v>
      </c>
      <c r="N18" s="59">
        <f t="shared" ref="N18:T18" si="5">SUM(N19:N22)</f>
        <v>2952728</v>
      </c>
      <c r="O18" s="59">
        <f t="shared" si="5"/>
        <v>2952525</v>
      </c>
      <c r="P18" s="59">
        <f t="shared" si="5"/>
        <v>2379246</v>
      </c>
      <c r="Q18" s="59">
        <f t="shared" si="5"/>
        <v>2378643</v>
      </c>
      <c r="R18" s="59">
        <f t="shared" si="5"/>
        <v>2357572</v>
      </c>
      <c r="S18" s="59">
        <f t="shared" ref="S18" si="6">SUM(S19:S22)</f>
        <v>2361600</v>
      </c>
      <c r="T18" s="59">
        <f t="shared" si="5"/>
        <v>2741928</v>
      </c>
      <c r="U18" s="59">
        <f t="shared" ref="U18" si="7">SUM(U19:U22)</f>
        <v>2738706</v>
      </c>
      <c r="W18" s="59">
        <f t="shared" ref="W18:AC18" si="8">SUM(W19:W22)</f>
        <v>2416638</v>
      </c>
      <c r="X18" s="59">
        <f t="shared" si="8"/>
        <v>2479144</v>
      </c>
      <c r="Y18" s="59">
        <f t="shared" si="8"/>
        <v>2476082</v>
      </c>
      <c r="Z18" s="59">
        <f t="shared" si="8"/>
        <v>2579363</v>
      </c>
      <c r="AA18" s="59">
        <f t="shared" si="8"/>
        <v>2622976</v>
      </c>
      <c r="AB18" s="59">
        <f t="shared" si="8"/>
        <v>2854732</v>
      </c>
      <c r="AC18" s="59">
        <f t="shared" si="8"/>
        <v>2803579</v>
      </c>
      <c r="AD18" s="59">
        <f t="shared" ref="AD18" si="9">SUM(AD19:AD22)</f>
        <v>2578896</v>
      </c>
      <c r="AE18" s="59"/>
      <c r="AF18" s="59">
        <f t="shared" ref="AF18:AK18" si="10">SUM(AF19:AF22)</f>
        <v>2317141</v>
      </c>
      <c r="AG18" s="59">
        <f t="shared" si="10"/>
        <v>2375672</v>
      </c>
      <c r="AH18" s="59">
        <f t="shared" si="10"/>
        <v>2546340</v>
      </c>
      <c r="AI18" s="59">
        <f t="shared" si="10"/>
        <v>2604825</v>
      </c>
      <c r="AJ18" s="59">
        <f t="shared" si="10"/>
        <v>2579168</v>
      </c>
      <c r="AK18" s="59">
        <f t="shared" si="10"/>
        <v>2579169</v>
      </c>
      <c r="AN18" s="59">
        <f t="shared" ref="AN18:AO18" si="11">SUM(AN19:AN22)</f>
        <v>2651727</v>
      </c>
      <c r="AO18" s="59">
        <f t="shared" si="11"/>
        <v>2651727</v>
      </c>
      <c r="AQ18" s="59">
        <f t="shared" ref="AQ18:AV18" si="12">SUM(AQ19:AQ22)</f>
        <v>2685456</v>
      </c>
      <c r="AR18" s="59">
        <f t="shared" si="12"/>
        <v>2685456</v>
      </c>
      <c r="AS18" s="59">
        <f t="shared" si="12"/>
        <v>2822418</v>
      </c>
      <c r="AT18" s="59">
        <f t="shared" si="12"/>
        <v>2866576</v>
      </c>
      <c r="AU18" s="59">
        <f t="shared" si="12"/>
        <v>3851920</v>
      </c>
      <c r="AV18" s="59">
        <f t="shared" si="12"/>
        <v>2861060</v>
      </c>
      <c r="AX18" s="59">
        <v>2797682</v>
      </c>
      <c r="AY18" s="255">
        <v>2498216</v>
      </c>
      <c r="AZ18" s="255">
        <v>2615417</v>
      </c>
      <c r="BA18" s="255">
        <f t="shared" ref="BA18" si="13">SUM(BA19:BA22)</f>
        <v>2720609</v>
      </c>
      <c r="BC18" s="255">
        <f t="shared" ref="BC18:BF18" si="14">SUM(BC19:BC22)</f>
        <v>2750841</v>
      </c>
      <c r="BD18" s="255">
        <f t="shared" si="14"/>
        <v>2923945</v>
      </c>
      <c r="BE18" s="255">
        <f t="shared" si="14"/>
        <v>2989665</v>
      </c>
      <c r="BF18" s="255">
        <f t="shared" si="14"/>
        <v>3183862</v>
      </c>
      <c r="BH18" s="255">
        <f t="shared" ref="BH18" si="15">SUM(BH19:BH22)</f>
        <v>3417804</v>
      </c>
      <c r="BI18" s="255">
        <f t="shared" ref="BI18" si="16">SUM(BI19:BI22)</f>
        <v>4472689</v>
      </c>
      <c r="BJ18" s="255">
        <v>3673290</v>
      </c>
      <c r="BK18" s="255">
        <f t="shared" ref="BK18" si="17">SUM(BK19:BK22)</f>
        <v>4227589</v>
      </c>
      <c r="BL18" s="9"/>
      <c r="BM18" s="255">
        <v>3959964</v>
      </c>
      <c r="BN18" s="255">
        <v>4551409</v>
      </c>
      <c r="BO18" s="255">
        <f t="shared" ref="BO18" si="18">SUM(BO19:BO22)</f>
        <v>3464541</v>
      </c>
      <c r="BP18" s="255">
        <v>4336176</v>
      </c>
    </row>
    <row r="19" spans="2:68" ht="16.5" customHeight="1">
      <c r="B19" s="8" t="s">
        <v>22</v>
      </c>
      <c r="C19" s="62">
        <v>1219105</v>
      </c>
      <c r="D19" s="29">
        <v>1457032.1981916202</v>
      </c>
      <c r="E19" s="29">
        <v>1470281</v>
      </c>
      <c r="F19" s="29">
        <f>1532585+148990</f>
        <v>1681575</v>
      </c>
      <c r="G19" s="19"/>
      <c r="H19" s="29">
        <f>1735140+1</f>
        <v>1735141</v>
      </c>
      <c r="I19" s="29">
        <f>1816481-1</f>
        <v>1816480</v>
      </c>
      <c r="J19" s="29">
        <v>2234831</v>
      </c>
      <c r="K19" s="29">
        <v>2846760</v>
      </c>
      <c r="L19" s="29">
        <v>2925128</v>
      </c>
      <c r="N19" s="29">
        <v>2695173</v>
      </c>
      <c r="O19" s="29">
        <v>2695173</v>
      </c>
      <c r="P19" s="29">
        <v>2175634</v>
      </c>
      <c r="Q19" s="29">
        <v>2175634</v>
      </c>
      <c r="R19" s="29">
        <v>2066846</v>
      </c>
      <c r="S19" s="29">
        <v>2066846</v>
      </c>
      <c r="T19" s="29">
        <v>2045753</v>
      </c>
      <c r="U19" s="29">
        <v>2045753</v>
      </c>
      <c r="W19" s="29">
        <v>2100364</v>
      </c>
      <c r="X19" s="29">
        <v>2162870</v>
      </c>
      <c r="Y19" s="29">
        <f>2051400</f>
        <v>2051400</v>
      </c>
      <c r="Z19" s="29">
        <f>2154681-1</f>
        <v>2154680</v>
      </c>
      <c r="AA19" s="29">
        <v>2074681</v>
      </c>
      <c r="AB19" s="29">
        <v>2180785</v>
      </c>
      <c r="AC19" s="29">
        <f>2486736+2</f>
        <v>2486738</v>
      </c>
      <c r="AD19" s="29">
        <f>2214846+2</f>
        <v>2214848</v>
      </c>
      <c r="AE19" s="29"/>
      <c r="AF19" s="29">
        <v>2086302</v>
      </c>
      <c r="AG19" s="29">
        <v>2086302</v>
      </c>
      <c r="AH19" s="29">
        <f>2268617+1</f>
        <v>2268618</v>
      </c>
      <c r="AI19" s="29">
        <f>2268617+1</f>
        <v>2268618</v>
      </c>
      <c r="AJ19" s="29">
        <v>2276872</v>
      </c>
      <c r="AK19" s="29">
        <v>2276872</v>
      </c>
      <c r="AL19" s="9"/>
      <c r="AM19" s="9"/>
      <c r="AN19" s="29">
        <v>2349342</v>
      </c>
      <c r="AO19" s="29">
        <v>2349342</v>
      </c>
      <c r="AP19" s="9"/>
      <c r="AQ19" s="29">
        <v>2346085</v>
      </c>
      <c r="AR19" s="29">
        <v>2346085</v>
      </c>
      <c r="AS19" s="29">
        <f>2439852+1</f>
        <v>2439853</v>
      </c>
      <c r="AT19" s="29">
        <f>2439852+1</f>
        <v>2439853</v>
      </c>
      <c r="AU19" s="29">
        <f>2647845-1</f>
        <v>2647844</v>
      </c>
      <c r="AV19" s="29">
        <v>2458935</v>
      </c>
      <c r="AW19" s="9"/>
      <c r="AX19" s="29">
        <v>2383062</v>
      </c>
      <c r="AY19" s="153">
        <v>2122510</v>
      </c>
      <c r="AZ19" s="153">
        <v>2247991</v>
      </c>
      <c r="BA19" s="153">
        <v>2312010</v>
      </c>
      <c r="BB19" s="9"/>
      <c r="BC19" s="153">
        <v>2383803</v>
      </c>
      <c r="BD19" s="153">
        <f>2485337+1</f>
        <v>2485338</v>
      </c>
      <c r="BE19" s="153">
        <v>2603062</v>
      </c>
      <c r="BF19" s="153">
        <v>2772862</v>
      </c>
      <c r="BG19" s="9"/>
      <c r="BH19" s="153">
        <v>3013948</v>
      </c>
      <c r="BI19" s="153">
        <v>3029728</v>
      </c>
      <c r="BJ19" s="153">
        <v>3268887</v>
      </c>
      <c r="BK19" s="153">
        <v>3850700</v>
      </c>
      <c r="BL19" s="9"/>
      <c r="BM19" s="153">
        <v>3625244</v>
      </c>
      <c r="BN19" s="153">
        <v>3659688</v>
      </c>
      <c r="BO19" s="153">
        <f>3130544+1</f>
        <v>3130545</v>
      </c>
      <c r="BP19" s="153">
        <v>3134110</v>
      </c>
    </row>
    <row r="20" spans="2:68" ht="16.5" customHeight="1">
      <c r="B20" s="8" t="s">
        <v>25</v>
      </c>
      <c r="C20" s="62">
        <v>133215</v>
      </c>
      <c r="D20" s="29">
        <v>147306.10460471999</v>
      </c>
      <c r="E20" s="29">
        <v>111773</v>
      </c>
      <c r="F20" s="29">
        <f>78595-1</f>
        <v>78594</v>
      </c>
      <c r="G20" s="19"/>
      <c r="H20" s="29">
        <v>197626</v>
      </c>
      <c r="I20" s="29">
        <v>166732</v>
      </c>
      <c r="J20" s="29">
        <v>189486</v>
      </c>
      <c r="K20" s="29">
        <v>201199</v>
      </c>
      <c r="L20" s="29">
        <v>200459</v>
      </c>
      <c r="N20" s="29">
        <v>214247</v>
      </c>
      <c r="O20" s="29">
        <v>213654</v>
      </c>
      <c r="P20" s="29">
        <v>196554</v>
      </c>
      <c r="Q20" s="29">
        <v>195961</v>
      </c>
      <c r="R20" s="29">
        <v>200431</v>
      </c>
      <c r="S20" s="29">
        <v>204459</v>
      </c>
      <c r="T20" s="29">
        <v>243653</v>
      </c>
      <c r="U20" s="29">
        <v>240811</v>
      </c>
      <c r="W20" s="29">
        <v>245643</v>
      </c>
      <c r="X20" s="29">
        <v>245643</v>
      </c>
      <c r="Y20" s="29">
        <f>227496</f>
        <v>227496</v>
      </c>
      <c r="Z20" s="29">
        <f>227496</f>
        <v>227496</v>
      </c>
      <c r="AA20" s="29">
        <v>233124</v>
      </c>
      <c r="AB20" s="29">
        <v>358777</v>
      </c>
      <c r="AC20" s="29">
        <v>224870</v>
      </c>
      <c r="AD20" s="29">
        <f>272076+1</f>
        <v>272077</v>
      </c>
      <c r="AE20" s="29"/>
      <c r="AF20" s="29">
        <v>221530</v>
      </c>
      <c r="AG20" s="29">
        <v>280061</v>
      </c>
      <c r="AH20" s="29">
        <v>235774</v>
      </c>
      <c r="AI20" s="29">
        <f>294260-1</f>
        <v>294259</v>
      </c>
      <c r="AJ20" s="29">
        <f>285940-1</f>
        <v>285939</v>
      </c>
      <c r="AK20" s="29">
        <f>285940</f>
        <v>285940</v>
      </c>
      <c r="AL20" s="9">
        <f>+AG20-AF20</f>
        <v>58531</v>
      </c>
      <c r="AM20" s="9">
        <f>+AI20-AH20</f>
        <v>58485</v>
      </c>
      <c r="AN20" s="29">
        <f>268477+1</f>
        <v>268478</v>
      </c>
      <c r="AO20" s="29">
        <f>268477+1</f>
        <v>268478</v>
      </c>
      <c r="AP20" s="9"/>
      <c r="AQ20" s="29">
        <v>328510</v>
      </c>
      <c r="AR20" s="29">
        <v>328510</v>
      </c>
      <c r="AS20" s="29">
        <v>373108</v>
      </c>
      <c r="AT20" s="29">
        <v>373108</v>
      </c>
      <c r="AU20" s="29">
        <v>365534</v>
      </c>
      <c r="AV20" s="29">
        <v>344788</v>
      </c>
      <c r="AW20" s="9"/>
      <c r="AX20" s="29">
        <v>356537</v>
      </c>
      <c r="AY20" s="153">
        <v>368685</v>
      </c>
      <c r="AZ20" s="153">
        <v>357938</v>
      </c>
      <c r="BA20" s="153">
        <v>358260</v>
      </c>
      <c r="BB20" s="9"/>
      <c r="BC20" s="153">
        <v>360552</v>
      </c>
      <c r="BD20" s="153">
        <v>367081</v>
      </c>
      <c r="BE20" s="153">
        <v>366743</v>
      </c>
      <c r="BF20" s="153">
        <f>371398-1</f>
        <v>371397</v>
      </c>
      <c r="BG20" s="9"/>
      <c r="BH20" s="153">
        <v>373933</v>
      </c>
      <c r="BI20" s="153">
        <f>363100+1</f>
        <v>363101</v>
      </c>
      <c r="BJ20" s="153">
        <v>379859</v>
      </c>
      <c r="BK20" s="153">
        <v>324989</v>
      </c>
      <c r="BL20" s="9"/>
      <c r="BM20" s="153">
        <v>312775</v>
      </c>
      <c r="BN20" s="153">
        <v>301873</v>
      </c>
      <c r="BO20" s="153">
        <v>282270</v>
      </c>
      <c r="BP20" s="153">
        <v>304144</v>
      </c>
    </row>
    <row r="21" spans="2:68" ht="15.75" customHeight="1">
      <c r="B21" s="8" t="s">
        <v>144</v>
      </c>
      <c r="C21" s="62">
        <v>32888</v>
      </c>
      <c r="D21" s="29">
        <v>116153.38323199999</v>
      </c>
      <c r="E21" s="29">
        <v>65351</v>
      </c>
      <c r="F21" s="29">
        <v>42445</v>
      </c>
      <c r="G21" s="19"/>
      <c r="H21" s="29">
        <v>0</v>
      </c>
      <c r="I21" s="29">
        <v>42075</v>
      </c>
      <c r="J21" s="29">
        <v>0</v>
      </c>
      <c r="K21" s="29">
        <v>57390</v>
      </c>
      <c r="L21" s="29">
        <v>57390</v>
      </c>
      <c r="N21" s="29">
        <v>11323</v>
      </c>
      <c r="O21" s="29">
        <v>11713</v>
      </c>
      <c r="P21" s="29">
        <f>79</f>
        <v>79</v>
      </c>
      <c r="Q21" s="29">
        <v>69</v>
      </c>
      <c r="R21" s="29">
        <v>77774</v>
      </c>
      <c r="S21" s="29">
        <v>77774</v>
      </c>
      <c r="T21" s="29">
        <v>373087</v>
      </c>
      <c r="U21" s="29">
        <v>372707</v>
      </c>
      <c r="W21" s="29">
        <v>0</v>
      </c>
      <c r="X21" s="29">
        <v>0</v>
      </c>
      <c r="Y21" s="29">
        <v>66801</v>
      </c>
      <c r="Z21" s="29">
        <v>66801</v>
      </c>
      <c r="AA21" s="29">
        <f>250218-1</f>
        <v>250217</v>
      </c>
      <c r="AB21" s="29">
        <f>250218-1</f>
        <v>250217</v>
      </c>
      <c r="AC21" s="29">
        <v>0</v>
      </c>
      <c r="AD21" s="29">
        <v>0</v>
      </c>
      <c r="AE21" s="29"/>
      <c r="AF21" s="29">
        <v>0</v>
      </c>
      <c r="AG21" s="29">
        <v>0</v>
      </c>
      <c r="AH21" s="29">
        <v>0</v>
      </c>
      <c r="AI21" s="29">
        <v>0</v>
      </c>
      <c r="AJ21" s="29">
        <v>0</v>
      </c>
      <c r="AK21" s="29">
        <v>0</v>
      </c>
      <c r="AN21" s="29">
        <v>932</v>
      </c>
      <c r="AO21" s="29">
        <v>932</v>
      </c>
      <c r="AQ21" s="29">
        <v>0</v>
      </c>
      <c r="AR21" s="29">
        <v>0</v>
      </c>
      <c r="AS21" s="29">
        <v>0</v>
      </c>
      <c r="AT21" s="29">
        <v>44158</v>
      </c>
      <c r="AU21" s="29">
        <v>781170</v>
      </c>
      <c r="AV21" s="29">
        <v>0</v>
      </c>
      <c r="AW21" s="9"/>
      <c r="AX21" s="29">
        <v>43276</v>
      </c>
      <c r="AY21" s="153">
        <v>0</v>
      </c>
      <c r="AZ21" s="153">
        <v>835</v>
      </c>
      <c r="BA21" s="153">
        <v>18630</v>
      </c>
      <c r="BB21" s="9"/>
      <c r="BC21" s="153">
        <v>0</v>
      </c>
      <c r="BD21" s="153">
        <v>909</v>
      </c>
      <c r="BE21" s="153">
        <v>0</v>
      </c>
      <c r="BF21" s="153">
        <v>6874</v>
      </c>
      <c r="BG21" s="9"/>
      <c r="BH21" s="153">
        <v>0</v>
      </c>
      <c r="BI21" s="153">
        <v>1044922</v>
      </c>
      <c r="BJ21" s="153">
        <v>0</v>
      </c>
      <c r="BK21" s="153">
        <v>0</v>
      </c>
      <c r="BL21" s="9"/>
      <c r="BM21" s="153">
        <v>0</v>
      </c>
      <c r="BN21" s="153">
        <v>569751</v>
      </c>
      <c r="BO21" s="153">
        <v>0</v>
      </c>
      <c r="BP21" s="153">
        <v>830382</v>
      </c>
    </row>
    <row r="22" spans="2:68" ht="15" customHeight="1">
      <c r="B22" s="8" t="s">
        <v>9</v>
      </c>
      <c r="C22" s="62">
        <v>10371</v>
      </c>
      <c r="D22" s="29">
        <v>-1540.8420608499998</v>
      </c>
      <c r="E22" s="29">
        <v>-964</v>
      </c>
      <c r="F22" s="29">
        <v>12652</v>
      </c>
      <c r="G22" s="19"/>
      <c r="H22" s="29">
        <v>-393</v>
      </c>
      <c r="I22" s="29">
        <v>2978</v>
      </c>
      <c r="J22" s="29">
        <v>17114</v>
      </c>
      <c r="K22" s="29">
        <v>123626</v>
      </c>
      <c r="L22" s="29">
        <v>139025</v>
      </c>
      <c r="N22" s="29">
        <v>31985</v>
      </c>
      <c r="O22" s="29">
        <v>31985</v>
      </c>
      <c r="P22" s="29">
        <v>6979</v>
      </c>
      <c r="Q22" s="29">
        <v>6979</v>
      </c>
      <c r="R22" s="29">
        <v>12521</v>
      </c>
      <c r="S22" s="29">
        <v>12521</v>
      </c>
      <c r="T22" s="29">
        <v>79435</v>
      </c>
      <c r="U22" s="29">
        <v>79435</v>
      </c>
      <c r="W22" s="29">
        <v>70631</v>
      </c>
      <c r="X22" s="29">
        <v>70631</v>
      </c>
      <c r="Y22" s="29">
        <v>130385</v>
      </c>
      <c r="Z22" s="29">
        <f>130385+1</f>
        <v>130386</v>
      </c>
      <c r="AA22" s="29">
        <f>64953+1</f>
        <v>64954</v>
      </c>
      <c r="AB22" s="29">
        <f>64953</f>
        <v>64953</v>
      </c>
      <c r="AC22" s="29">
        <v>91971</v>
      </c>
      <c r="AD22" s="29">
        <v>91971</v>
      </c>
      <c r="AE22" s="29"/>
      <c r="AF22" s="29">
        <v>9309</v>
      </c>
      <c r="AG22" s="29">
        <v>9309</v>
      </c>
      <c r="AH22" s="29">
        <v>41948</v>
      </c>
      <c r="AI22" s="29">
        <v>41948</v>
      </c>
      <c r="AJ22" s="29">
        <f>16356+1</f>
        <v>16357</v>
      </c>
      <c r="AK22" s="29">
        <f>16356+1</f>
        <v>16357</v>
      </c>
      <c r="AN22" s="29">
        <v>32975</v>
      </c>
      <c r="AO22" s="29">
        <v>32975</v>
      </c>
      <c r="AQ22" s="29">
        <v>10861</v>
      </c>
      <c r="AR22" s="29">
        <v>10861</v>
      </c>
      <c r="AS22" s="29">
        <v>9457</v>
      </c>
      <c r="AT22" s="29">
        <v>9457</v>
      </c>
      <c r="AU22" s="29">
        <v>57372</v>
      </c>
      <c r="AV22" s="29">
        <v>57337</v>
      </c>
      <c r="AW22" s="9"/>
      <c r="AX22" s="29">
        <v>14807</v>
      </c>
      <c r="AY22" s="153">
        <v>7021</v>
      </c>
      <c r="AZ22" s="153">
        <v>8653</v>
      </c>
      <c r="BA22" s="153">
        <f>31710-1</f>
        <v>31709</v>
      </c>
      <c r="BB22" s="9"/>
      <c r="BC22" s="153">
        <v>6486</v>
      </c>
      <c r="BD22" s="153">
        <f>70616+1</f>
        <v>70617</v>
      </c>
      <c r="BE22" s="153">
        <v>19860</v>
      </c>
      <c r="BF22" s="153">
        <v>32729</v>
      </c>
      <c r="BG22" s="9"/>
      <c r="BH22" s="153">
        <v>29923</v>
      </c>
      <c r="BI22" s="153">
        <f>34939-1</f>
        <v>34938</v>
      </c>
      <c r="BJ22" s="153">
        <v>24544</v>
      </c>
      <c r="BK22" s="153">
        <f>51901-1</f>
        <v>51900</v>
      </c>
      <c r="BL22" s="9"/>
      <c r="BM22" s="153">
        <v>21945</v>
      </c>
      <c r="BN22" s="153">
        <v>20097</v>
      </c>
      <c r="BO22" s="153">
        <f>51727-1</f>
        <v>51726</v>
      </c>
      <c r="BP22" s="153">
        <v>67540</v>
      </c>
    </row>
    <row r="23" spans="2:68" ht="10.5" customHeight="1">
      <c r="C23" s="19"/>
      <c r="D23" s="44"/>
      <c r="E23" s="44"/>
      <c r="F23" s="44"/>
      <c r="G23" s="19"/>
      <c r="H23" s="44"/>
      <c r="I23" s="44"/>
      <c r="J23" s="44"/>
      <c r="K23" s="44"/>
      <c r="L23" s="44"/>
      <c r="N23" s="44"/>
      <c r="O23" s="44"/>
      <c r="P23" s="44"/>
      <c r="Q23" s="44"/>
      <c r="R23" s="44"/>
      <c r="S23" s="44"/>
      <c r="T23" s="44"/>
      <c r="U23" s="44"/>
      <c r="W23" s="44"/>
      <c r="X23" s="44"/>
      <c r="Y23" s="44"/>
      <c r="Z23" s="44"/>
      <c r="AA23" s="44"/>
      <c r="AB23" s="44"/>
      <c r="AC23" s="44"/>
      <c r="AD23" s="44"/>
      <c r="AE23" s="44"/>
      <c r="AF23" s="44"/>
      <c r="AG23" s="44"/>
      <c r="AH23" s="44"/>
      <c r="AI23" s="44"/>
      <c r="AJ23" s="44"/>
      <c r="AK23" s="44"/>
      <c r="AN23" s="44"/>
      <c r="AO23" s="44"/>
      <c r="AQ23" s="44"/>
      <c r="AR23" s="44"/>
      <c r="AS23" s="44"/>
      <c r="AT23" s="44"/>
      <c r="AU23" s="44"/>
      <c r="AV23" s="44"/>
      <c r="AW23" s="9"/>
      <c r="AX23" s="44"/>
      <c r="AY23" s="44"/>
      <c r="AZ23" s="44"/>
      <c r="BA23" s="44"/>
      <c r="BB23" s="9"/>
      <c r="BC23" s="44"/>
      <c r="BD23" s="44"/>
      <c r="BE23" s="44"/>
      <c r="BF23" s="44"/>
      <c r="BG23" s="9"/>
      <c r="BH23" s="44"/>
      <c r="BI23" s="44"/>
      <c r="BJ23" s="44"/>
      <c r="BK23" s="44"/>
      <c r="BL23" s="9"/>
      <c r="BM23" s="44"/>
      <c r="BN23" s="44"/>
      <c r="BO23" s="44"/>
      <c r="BP23" s="44"/>
    </row>
    <row r="24" spans="2:68" s="2" customFormat="1" ht="16.5" customHeight="1">
      <c r="B24" s="2" t="s">
        <v>2</v>
      </c>
      <c r="C24" s="48">
        <f>+C10-C18</f>
        <v>897196</v>
      </c>
      <c r="D24" s="63">
        <f>+D10-D18</f>
        <v>826202.15603250987</v>
      </c>
      <c r="E24" s="63">
        <f>+E10-E18</f>
        <v>588303</v>
      </c>
      <c r="F24" s="63">
        <f>+F10-F18</f>
        <v>408351</v>
      </c>
      <c r="G24" s="19"/>
      <c r="H24" s="63">
        <f>+H10-H18</f>
        <v>707736</v>
      </c>
      <c r="I24" s="63">
        <f>+I10-I18</f>
        <v>821606</v>
      </c>
      <c r="J24" s="63">
        <f>+J10-J18</f>
        <v>770960</v>
      </c>
      <c r="K24" s="63">
        <f>+K10-K18</f>
        <v>648331</v>
      </c>
      <c r="L24" s="63">
        <f>+L10-L18</f>
        <v>675930</v>
      </c>
      <c r="N24" s="63">
        <f t="shared" ref="N24:U24" si="19">+N10-N18</f>
        <v>1103405</v>
      </c>
      <c r="O24" s="63">
        <f t="shared" si="19"/>
        <v>1090100</v>
      </c>
      <c r="P24" s="63">
        <f t="shared" si="19"/>
        <v>1016394</v>
      </c>
      <c r="Q24" s="63">
        <f t="shared" si="19"/>
        <v>1005735</v>
      </c>
      <c r="R24" s="63">
        <f t="shared" si="19"/>
        <v>1004663</v>
      </c>
      <c r="S24" s="63">
        <f t="shared" si="19"/>
        <v>1040321</v>
      </c>
      <c r="T24" s="63">
        <f t="shared" si="19"/>
        <v>996948</v>
      </c>
      <c r="U24" s="63">
        <f t="shared" si="19"/>
        <v>985254</v>
      </c>
      <c r="W24" s="63">
        <f t="shared" ref="W24:AD24" si="20">+W10-W18</f>
        <v>940556</v>
      </c>
      <c r="X24" s="63">
        <f t="shared" si="20"/>
        <v>878050</v>
      </c>
      <c r="Y24" s="63">
        <f t="shared" si="20"/>
        <v>1089051</v>
      </c>
      <c r="Z24" s="63">
        <f t="shared" si="20"/>
        <v>985770</v>
      </c>
      <c r="AA24" s="63">
        <f t="shared" si="20"/>
        <v>1443066</v>
      </c>
      <c r="AB24" s="63">
        <f t="shared" si="20"/>
        <v>1211309</v>
      </c>
      <c r="AC24" s="63">
        <f t="shared" si="20"/>
        <v>781630</v>
      </c>
      <c r="AD24" s="63">
        <f t="shared" si="20"/>
        <v>1006315</v>
      </c>
      <c r="AE24" s="63"/>
      <c r="AF24" s="63">
        <f t="shared" ref="AF24:AK24" si="21">+AF10-AF18</f>
        <v>993405</v>
      </c>
      <c r="AG24" s="63">
        <f t="shared" si="21"/>
        <v>932280</v>
      </c>
      <c r="AH24" s="63">
        <f t="shared" si="21"/>
        <v>1070770</v>
      </c>
      <c r="AI24" s="63">
        <f t="shared" si="21"/>
        <v>1007581</v>
      </c>
      <c r="AJ24" s="63">
        <f t="shared" si="21"/>
        <v>1059074</v>
      </c>
      <c r="AK24" s="63">
        <f t="shared" si="21"/>
        <v>1055253</v>
      </c>
      <c r="AN24" s="63">
        <f>+AN10-AN18</f>
        <v>1096388</v>
      </c>
      <c r="AO24" s="63">
        <f>+AO10-AO18</f>
        <v>1088168</v>
      </c>
      <c r="AQ24" s="63">
        <f t="shared" ref="AQ24:AV24" si="22">+AQ10-AQ18</f>
        <v>1035860</v>
      </c>
      <c r="AR24" s="63">
        <f t="shared" si="22"/>
        <v>1029448</v>
      </c>
      <c r="AS24" s="63">
        <f t="shared" si="22"/>
        <v>1038148</v>
      </c>
      <c r="AT24" s="63">
        <f t="shared" si="22"/>
        <v>1048618</v>
      </c>
      <c r="AU24" s="63">
        <f t="shared" si="22"/>
        <v>1375767</v>
      </c>
      <c r="AV24" s="63">
        <f t="shared" si="22"/>
        <v>1079744</v>
      </c>
      <c r="AW24" s="6"/>
      <c r="AX24" s="63">
        <v>818100</v>
      </c>
      <c r="AY24" s="63">
        <v>847593</v>
      </c>
      <c r="AZ24" s="63">
        <v>837766</v>
      </c>
      <c r="BA24" s="63">
        <f>+BA10-BA18</f>
        <v>855140</v>
      </c>
      <c r="BB24" s="6"/>
      <c r="BC24" s="63">
        <f>+BC10-BC18</f>
        <v>982173</v>
      </c>
      <c r="BD24" s="63">
        <f>+BD10-BD18</f>
        <v>1102679</v>
      </c>
      <c r="BE24" s="63">
        <f>+BE10-BE18</f>
        <v>1125750</v>
      </c>
      <c r="BF24" s="63">
        <f>+BF10-BF18</f>
        <v>1250204</v>
      </c>
      <c r="BG24" s="6"/>
      <c r="BH24" s="63">
        <f>+BH10-BH18</f>
        <v>1195903</v>
      </c>
      <c r="BI24" s="63">
        <f>+BI10-BI18</f>
        <v>1425400</v>
      </c>
      <c r="BJ24" s="63">
        <v>1414816</v>
      </c>
      <c r="BK24" s="63">
        <f>+BK10-BK18</f>
        <v>1512215</v>
      </c>
      <c r="BL24" s="9"/>
      <c r="BM24" s="63">
        <v>1784939</v>
      </c>
      <c r="BN24" s="63">
        <v>1840986</v>
      </c>
      <c r="BO24" s="63">
        <f>+BO10-BO18</f>
        <v>1379798</v>
      </c>
      <c r="BP24" s="63">
        <v>1275288</v>
      </c>
    </row>
    <row r="25" spans="2:68" ht="16.5" customHeight="1">
      <c r="B25" s="64" t="s">
        <v>3</v>
      </c>
      <c r="C25" s="65">
        <f>+C24/C10</f>
        <v>0.3913144551907623</v>
      </c>
      <c r="D25" s="65">
        <f>+D24/D10</f>
        <v>0.32461787406592446</v>
      </c>
      <c r="E25" s="65">
        <f>+E24/E10</f>
        <v>0.26325297215251503</v>
      </c>
      <c r="F25" s="65">
        <f>+F24/F10</f>
        <v>0.18364268666771302</v>
      </c>
      <c r="G25" s="19"/>
      <c r="H25" s="65">
        <f>+H24/H10</f>
        <v>0.26807064857146101</v>
      </c>
      <c r="I25" s="65">
        <f>+I24/I10</f>
        <v>0.28829585619840337</v>
      </c>
      <c r="J25" s="65">
        <f>+J24/J10</f>
        <v>0.23999569168261273</v>
      </c>
      <c r="K25" s="65">
        <f>+K24/K10</f>
        <v>0.1672117186520744</v>
      </c>
      <c r="L25" s="65">
        <f>+L24/L10</f>
        <v>0.16906990914302694</v>
      </c>
      <c r="N25" s="65">
        <f t="shared" ref="N25:U25" si="23">+N24/N10</f>
        <v>0.27203373262168673</v>
      </c>
      <c r="O25" s="65">
        <f t="shared" si="23"/>
        <v>0.26965152592684211</v>
      </c>
      <c r="P25" s="65">
        <f t="shared" si="23"/>
        <v>0.29932324981446795</v>
      </c>
      <c r="Q25" s="65">
        <f t="shared" si="23"/>
        <v>0.29716981968326234</v>
      </c>
      <c r="R25" s="65">
        <f t="shared" si="23"/>
        <v>0.29880808450331403</v>
      </c>
      <c r="S25" s="65">
        <f t="shared" si="23"/>
        <v>0.30580398545410081</v>
      </c>
      <c r="T25" s="65">
        <f t="shared" si="23"/>
        <v>0.26664377208551449</v>
      </c>
      <c r="U25" s="65">
        <f t="shared" si="23"/>
        <v>0.26457158508684303</v>
      </c>
      <c r="W25" s="65">
        <f t="shared" ref="W25:AD25" si="24">+W24/W10</f>
        <v>0.28016134903136369</v>
      </c>
      <c r="X25" s="65">
        <f t="shared" si="24"/>
        <v>0.26154282415612562</v>
      </c>
      <c r="Y25" s="65">
        <f t="shared" si="24"/>
        <v>0.30547275515387506</v>
      </c>
      <c r="Z25" s="65">
        <f t="shared" si="24"/>
        <v>0.27650300844316328</v>
      </c>
      <c r="AA25" s="65">
        <f t="shared" si="24"/>
        <v>0.35490681109540922</v>
      </c>
      <c r="AB25" s="65">
        <f t="shared" si="24"/>
        <v>0.29790870283895315</v>
      </c>
      <c r="AC25" s="65">
        <f t="shared" si="24"/>
        <v>0.21801518405203155</v>
      </c>
      <c r="AD25" s="65">
        <f t="shared" si="24"/>
        <v>0.28068501407588003</v>
      </c>
      <c r="AE25" s="65"/>
      <c r="AF25" s="65">
        <f t="shared" ref="AF25:AK25" si="25">+AF24/AF10</f>
        <v>0.30007285807235423</v>
      </c>
      <c r="AG25" s="65">
        <f t="shared" si="25"/>
        <v>0.28182996609382482</v>
      </c>
      <c r="AH25" s="65">
        <f t="shared" si="25"/>
        <v>0.29602915034378274</v>
      </c>
      <c r="AI25" s="65">
        <f t="shared" si="25"/>
        <v>0.27892241348286989</v>
      </c>
      <c r="AJ25" s="65">
        <f t="shared" si="25"/>
        <v>0.29109498488555735</v>
      </c>
      <c r="AK25" s="65">
        <f t="shared" si="25"/>
        <v>0.29034960717274988</v>
      </c>
      <c r="AN25" s="65">
        <f>+AN24/AN10</f>
        <v>0.29251717196510779</v>
      </c>
      <c r="AO25" s="65">
        <f>+AO24/AO10</f>
        <v>0.29096217941947566</v>
      </c>
      <c r="AQ25" s="65">
        <f t="shared" ref="AQ25:AV25" si="26">+AQ24/AQ10</f>
        <v>0.27835851618083496</v>
      </c>
      <c r="AR25" s="65">
        <f t="shared" si="26"/>
        <v>0.27711294827537941</v>
      </c>
      <c r="AS25" s="65">
        <f t="shared" si="26"/>
        <v>0.26891082810137168</v>
      </c>
      <c r="AT25" s="65">
        <f t="shared" si="26"/>
        <v>0.26783296051230154</v>
      </c>
      <c r="AU25" s="65">
        <f t="shared" si="26"/>
        <v>0.26316935195240265</v>
      </c>
      <c r="AV25" s="65">
        <f t="shared" si="26"/>
        <v>0.2739907896967218</v>
      </c>
      <c r="AX25" s="65">
        <v>0.22625810958735898</v>
      </c>
      <c r="AY25" s="65">
        <v>0.25332976269715335</v>
      </c>
      <c r="AZ25" s="65">
        <v>0.2426068934081976</v>
      </c>
      <c r="BA25" s="65">
        <f>+BA24/BA10</f>
        <v>0.2391498955883089</v>
      </c>
      <c r="BC25" s="65">
        <f>+BC24/BC10</f>
        <v>0.26310455840776381</v>
      </c>
      <c r="BD25" s="65">
        <f>+BD24/BD10</f>
        <v>0.27384702420687901</v>
      </c>
      <c r="BE25" s="65">
        <f>+BE24/BE10</f>
        <v>0.27354470934280017</v>
      </c>
      <c r="BF25" s="65">
        <f>+BF24/BF10</f>
        <v>0.28195430559671419</v>
      </c>
      <c r="BH25" s="65">
        <f>+BH24/BH10</f>
        <v>0.25920653392163828</v>
      </c>
      <c r="BI25" s="65">
        <f>+BI24/BI10</f>
        <v>0.24167149732735468</v>
      </c>
      <c r="BJ25" s="65">
        <v>0.2780633894026579</v>
      </c>
      <c r="BK25" s="65">
        <f>+BK24/BK10</f>
        <v>0.26346108682456754</v>
      </c>
      <c r="BL25" s="9"/>
      <c r="BM25" s="65">
        <v>0.31069958883552951</v>
      </c>
      <c r="BN25" s="65">
        <v>0.28799628308325753</v>
      </c>
      <c r="BO25" s="317">
        <f>+BO24/BO10</f>
        <v>0.28482688763110919</v>
      </c>
      <c r="BP25" s="65">
        <v>0.2272647565768933</v>
      </c>
    </row>
    <row r="26" spans="2:68" ht="4.5" customHeight="1">
      <c r="C26" s="19"/>
      <c r="D26" s="44"/>
      <c r="E26" s="44"/>
      <c r="F26" s="44"/>
      <c r="G26" s="19"/>
      <c r="H26" s="44"/>
      <c r="I26" s="44"/>
      <c r="J26" s="44"/>
      <c r="K26" s="44"/>
      <c r="L26" s="44"/>
      <c r="N26" s="44"/>
      <c r="O26" s="44"/>
      <c r="P26" s="44"/>
      <c r="Q26" s="44"/>
      <c r="R26" s="44"/>
      <c r="S26" s="44"/>
      <c r="T26" s="44"/>
      <c r="U26" s="44"/>
      <c r="W26" s="44"/>
      <c r="X26" s="44"/>
      <c r="Y26" s="44"/>
      <c r="Z26" s="44"/>
      <c r="AA26" s="44"/>
      <c r="AB26" s="44"/>
      <c r="AC26" s="44"/>
      <c r="AD26" s="44"/>
      <c r="AE26" s="44"/>
      <c r="AF26" s="44"/>
      <c r="AG26" s="44"/>
      <c r="AH26" s="44"/>
      <c r="AI26" s="44"/>
      <c r="AJ26" s="44"/>
      <c r="AK26" s="44"/>
      <c r="AN26" s="44"/>
      <c r="AO26" s="44"/>
      <c r="AQ26" s="44"/>
      <c r="AR26" s="44"/>
      <c r="AS26" s="44"/>
      <c r="AT26" s="44"/>
      <c r="AU26" s="44"/>
      <c r="AV26" s="44"/>
      <c r="AX26" s="44"/>
      <c r="AY26" s="44"/>
      <c r="AZ26" s="44"/>
      <c r="BA26" s="44"/>
      <c r="BC26" s="44"/>
      <c r="BD26" s="44"/>
      <c r="BE26" s="44"/>
      <c r="BF26" s="44"/>
      <c r="BH26" s="44"/>
      <c r="BI26" s="44"/>
      <c r="BJ26" s="44"/>
      <c r="BK26" s="44"/>
      <c r="BL26" s="9"/>
      <c r="BM26" s="44"/>
      <c r="BN26" s="44"/>
      <c r="BO26" s="44"/>
      <c r="BP26" s="44"/>
    </row>
    <row r="27" spans="2:68" ht="15" customHeight="1">
      <c r="B27" s="2" t="s">
        <v>146</v>
      </c>
      <c r="C27" s="58">
        <f>SUM(C28:C31)</f>
        <v>218824</v>
      </c>
      <c r="D27" s="59">
        <f>SUM(D28:D31)</f>
        <v>237914.21017954001</v>
      </c>
      <c r="E27" s="59">
        <f>SUM(E28:E31)</f>
        <v>221217</v>
      </c>
      <c r="F27" s="59">
        <f>SUM(F28:F31)</f>
        <v>320645</v>
      </c>
      <c r="G27" s="19"/>
      <c r="H27" s="59">
        <f>SUM(H28:H31)</f>
        <v>254132</v>
      </c>
      <c r="I27" s="59">
        <f t="shared" ref="I27:L27" si="27">SUM(I28:I31)</f>
        <v>270744</v>
      </c>
      <c r="J27" s="59">
        <f t="shared" si="27"/>
        <v>298121</v>
      </c>
      <c r="K27" s="59">
        <f t="shared" si="27"/>
        <v>401537</v>
      </c>
      <c r="L27" s="59">
        <f t="shared" si="27"/>
        <v>423472</v>
      </c>
      <c r="N27" s="59">
        <f t="shared" ref="N27:T27" si="28">SUM(N28:N31)</f>
        <v>374650</v>
      </c>
      <c r="O27" s="59">
        <f t="shared" si="28"/>
        <v>375691</v>
      </c>
      <c r="P27" s="59">
        <f t="shared" si="28"/>
        <v>338703</v>
      </c>
      <c r="Q27" s="59">
        <f t="shared" si="28"/>
        <v>323102</v>
      </c>
      <c r="R27" s="59">
        <f t="shared" si="28"/>
        <v>350059</v>
      </c>
      <c r="S27" s="59">
        <f t="shared" ref="S27" si="29">SUM(S28:S31)</f>
        <v>359112</v>
      </c>
      <c r="T27" s="59">
        <f t="shared" si="28"/>
        <v>511526</v>
      </c>
      <c r="U27" s="59">
        <f t="shared" ref="U27" si="30">SUM(U28:U31)</f>
        <v>517033</v>
      </c>
      <c r="W27" s="59">
        <f t="shared" ref="W27:AC27" si="31">SUM(W28:W31)</f>
        <v>516450</v>
      </c>
      <c r="X27" s="59">
        <f t="shared" si="31"/>
        <v>453945</v>
      </c>
      <c r="Y27" s="59">
        <f t="shared" si="31"/>
        <v>529111</v>
      </c>
      <c r="Z27" s="59">
        <f t="shared" si="31"/>
        <v>425830</v>
      </c>
      <c r="AA27" s="59">
        <f t="shared" si="31"/>
        <v>568293</v>
      </c>
      <c r="AB27" s="59">
        <f t="shared" si="31"/>
        <v>336536</v>
      </c>
      <c r="AC27" s="59">
        <f t="shared" si="31"/>
        <v>265323</v>
      </c>
      <c r="AD27" s="59">
        <f t="shared" ref="AD27" si="32">SUM(AD28:AD31)</f>
        <v>490006</v>
      </c>
      <c r="AE27" s="59"/>
      <c r="AF27" s="59">
        <f t="shared" ref="AF27:AK27" si="33">SUM(AF28:AF31)</f>
        <v>469371</v>
      </c>
      <c r="AG27" s="59">
        <f t="shared" si="33"/>
        <v>410841</v>
      </c>
      <c r="AH27" s="59">
        <f t="shared" si="33"/>
        <v>450565</v>
      </c>
      <c r="AI27" s="59">
        <f t="shared" si="33"/>
        <v>392079</v>
      </c>
      <c r="AJ27" s="59">
        <f t="shared" si="33"/>
        <v>395698</v>
      </c>
      <c r="AK27" s="59">
        <f t="shared" si="33"/>
        <v>395697</v>
      </c>
      <c r="AN27" s="59">
        <f t="shared" ref="AN27:AO27" si="34">SUM(AN28:AN31)</f>
        <v>414505</v>
      </c>
      <c r="AO27" s="59">
        <f t="shared" si="34"/>
        <v>414505</v>
      </c>
      <c r="AQ27" s="59">
        <f t="shared" ref="AQ27:AV27" si="35">SUM(AQ28:AQ31)</f>
        <v>443235</v>
      </c>
      <c r="AR27" s="59">
        <f t="shared" si="35"/>
        <v>443235</v>
      </c>
      <c r="AS27" s="59">
        <f t="shared" si="35"/>
        <v>458570</v>
      </c>
      <c r="AT27" s="59">
        <f t="shared" si="35"/>
        <v>458570</v>
      </c>
      <c r="AU27" s="59">
        <f t="shared" si="35"/>
        <v>427531</v>
      </c>
      <c r="AV27" s="59">
        <f t="shared" si="35"/>
        <v>523442</v>
      </c>
      <c r="AX27" s="59">
        <v>438590</v>
      </c>
      <c r="AY27" s="255">
        <v>394217</v>
      </c>
      <c r="AZ27" s="255">
        <v>416929</v>
      </c>
      <c r="BA27" s="255">
        <f t="shared" ref="BA27" si="36">SUM(BA28:BA31)</f>
        <v>438377</v>
      </c>
      <c r="BC27" s="255">
        <f t="shared" ref="BC27:BF27" si="37">SUM(BC28:BC31)</f>
        <v>443454</v>
      </c>
      <c r="BD27" s="255">
        <f t="shared" si="37"/>
        <v>419071</v>
      </c>
      <c r="BE27" s="255">
        <f t="shared" si="37"/>
        <v>405701</v>
      </c>
      <c r="BF27" s="255">
        <f t="shared" si="37"/>
        <v>509432</v>
      </c>
      <c r="BH27" s="255">
        <f t="shared" ref="BH27" si="38">SUM(BH28:BH31)</f>
        <v>495906</v>
      </c>
      <c r="BI27" s="255">
        <f t="shared" ref="BI27" si="39">SUM(BI28:BI31)</f>
        <v>481880</v>
      </c>
      <c r="BJ27" s="255">
        <v>468438</v>
      </c>
      <c r="BK27" s="255">
        <f t="shared" ref="BK27" si="40">SUM(BK28:BK31)</f>
        <v>592958</v>
      </c>
      <c r="BL27" s="9"/>
      <c r="BM27" s="255">
        <v>542473</v>
      </c>
      <c r="BN27" s="255">
        <v>604744</v>
      </c>
      <c r="BO27" s="255">
        <f t="shared" ref="BO27" si="41">SUM(BO28:BO31)</f>
        <v>452323</v>
      </c>
      <c r="BP27" s="255">
        <v>566663</v>
      </c>
    </row>
    <row r="28" spans="2:68" ht="12.5">
      <c r="B28" s="8" t="s">
        <v>4</v>
      </c>
      <c r="C28" s="62">
        <v>156362</v>
      </c>
      <c r="D28" s="29">
        <v>165131.00481824999</v>
      </c>
      <c r="E28" s="29">
        <v>155601</v>
      </c>
      <c r="F28" s="29">
        <f>235633-1</f>
        <v>235632</v>
      </c>
      <c r="G28" s="19"/>
      <c r="H28" s="29">
        <v>176549</v>
      </c>
      <c r="I28" s="29">
        <f>188427+1</f>
        <v>188428</v>
      </c>
      <c r="J28" s="29">
        <v>202847</v>
      </c>
      <c r="K28" s="29">
        <v>273836</v>
      </c>
      <c r="L28" s="29">
        <v>293375</v>
      </c>
      <c r="N28" s="29">
        <v>273896</v>
      </c>
      <c r="O28" s="29">
        <v>273896</v>
      </c>
      <c r="P28" s="29">
        <v>227500</v>
      </c>
      <c r="Q28" s="29">
        <f>227749</f>
        <v>227749</v>
      </c>
      <c r="R28" s="29">
        <v>232226</v>
      </c>
      <c r="S28" s="29">
        <v>231977</v>
      </c>
      <c r="T28" s="29">
        <v>382408</v>
      </c>
      <c r="U28" s="29">
        <v>382408</v>
      </c>
      <c r="W28" s="29">
        <v>379041</v>
      </c>
      <c r="X28" s="29">
        <v>316536</v>
      </c>
      <c r="Y28" s="29">
        <v>381636</v>
      </c>
      <c r="Z28" s="29">
        <v>278355</v>
      </c>
      <c r="AA28" s="29">
        <v>383907</v>
      </c>
      <c r="AB28" s="29">
        <v>277803</v>
      </c>
      <c r="AC28" s="29">
        <f>99278-1</f>
        <v>99277</v>
      </c>
      <c r="AD28" s="29">
        <v>371167</v>
      </c>
      <c r="AE28" s="29"/>
      <c r="AF28" s="29">
        <v>302984</v>
      </c>
      <c r="AG28" s="29">
        <v>302984</v>
      </c>
      <c r="AH28" s="29">
        <v>284767</v>
      </c>
      <c r="AI28" s="29">
        <v>284767</v>
      </c>
      <c r="AJ28" s="29">
        <v>279324</v>
      </c>
      <c r="AK28" s="29">
        <v>279324</v>
      </c>
      <c r="AL28" s="9"/>
      <c r="AM28" s="9"/>
      <c r="AN28" s="29">
        <v>298440</v>
      </c>
      <c r="AO28" s="29">
        <v>298440</v>
      </c>
      <c r="AP28" s="9"/>
      <c r="AQ28" s="29">
        <v>328881</v>
      </c>
      <c r="AR28" s="29">
        <v>328881</v>
      </c>
      <c r="AS28" s="29">
        <v>316734</v>
      </c>
      <c r="AT28" s="29">
        <v>316734</v>
      </c>
      <c r="AU28" s="29">
        <v>300328</v>
      </c>
      <c r="AV28" s="29">
        <v>366319</v>
      </c>
      <c r="AW28" s="9"/>
      <c r="AX28" s="29">
        <v>314204</v>
      </c>
      <c r="AY28" s="153">
        <v>274170</v>
      </c>
      <c r="AZ28" s="153">
        <v>289241</v>
      </c>
      <c r="BA28" s="153">
        <v>313251</v>
      </c>
      <c r="BB28" s="9"/>
      <c r="BC28" s="153">
        <v>316608</v>
      </c>
      <c r="BD28" s="153">
        <v>299882</v>
      </c>
      <c r="BE28" s="153">
        <v>283671</v>
      </c>
      <c r="BF28" s="153">
        <f>381818-1</f>
        <v>381817</v>
      </c>
      <c r="BG28" s="9"/>
      <c r="BH28" s="153">
        <v>380742</v>
      </c>
      <c r="BI28" s="153">
        <f>362698+1</f>
        <v>362699</v>
      </c>
      <c r="BJ28" s="153">
        <v>349612</v>
      </c>
      <c r="BK28" s="153">
        <f>474091+1</f>
        <v>474092</v>
      </c>
      <c r="BL28" s="9"/>
      <c r="BM28" s="153">
        <v>417178</v>
      </c>
      <c r="BN28" s="153">
        <v>493901</v>
      </c>
      <c r="BO28" s="153">
        <v>346426</v>
      </c>
      <c r="BP28" s="153">
        <v>446627</v>
      </c>
    </row>
    <row r="29" spans="2:68" ht="12.5">
      <c r="B29" s="8" t="s">
        <v>23</v>
      </c>
      <c r="C29" s="62">
        <v>7535</v>
      </c>
      <c r="D29" s="29">
        <v>23586.429190990002</v>
      </c>
      <c r="E29" s="29">
        <v>8473</v>
      </c>
      <c r="F29" s="29">
        <v>6093</v>
      </c>
      <c r="G29" s="19"/>
      <c r="H29" s="29">
        <v>17128</v>
      </c>
      <c r="I29" s="29">
        <v>25492</v>
      </c>
      <c r="J29" s="29">
        <v>39591</v>
      </c>
      <c r="K29" s="29">
        <f>28947</f>
        <v>28947</v>
      </c>
      <c r="L29" s="29">
        <v>32001</v>
      </c>
      <c r="N29" s="29">
        <v>35387</v>
      </c>
      <c r="O29" s="29">
        <v>36428</v>
      </c>
      <c r="P29" s="29">
        <v>41710</v>
      </c>
      <c r="Q29" s="29">
        <v>25860</v>
      </c>
      <c r="R29" s="29">
        <v>49767</v>
      </c>
      <c r="S29" s="29">
        <v>59069</v>
      </c>
      <c r="T29" s="29">
        <v>62156</v>
      </c>
      <c r="U29" s="29">
        <v>67663</v>
      </c>
      <c r="W29" s="29">
        <v>74705</v>
      </c>
      <c r="X29" s="29">
        <v>74705</v>
      </c>
      <c r="Y29" s="29">
        <v>82978</v>
      </c>
      <c r="Z29" s="29">
        <v>82978</v>
      </c>
      <c r="AA29" s="29">
        <v>122335</v>
      </c>
      <c r="AB29" s="29">
        <v>-3318</v>
      </c>
      <c r="AC29" s="29">
        <f>97762+1</f>
        <v>97763</v>
      </c>
      <c r="AD29" s="29">
        <v>50556</v>
      </c>
      <c r="AE29" s="29"/>
      <c r="AF29" s="29">
        <v>104315</v>
      </c>
      <c r="AG29" s="29">
        <f>45785</f>
        <v>45785</v>
      </c>
      <c r="AH29" s="29">
        <f>102554+1</f>
        <v>102555</v>
      </c>
      <c r="AI29" s="29">
        <f>44068+1</f>
        <v>44069</v>
      </c>
      <c r="AJ29" s="29">
        <f>50751+1</f>
        <v>50752</v>
      </c>
      <c r="AK29" s="29">
        <f>50751</f>
        <v>50751</v>
      </c>
      <c r="AL29" s="9">
        <f>+AG29-AF29</f>
        <v>-58530</v>
      </c>
      <c r="AM29" s="9">
        <f>+AI29-AH29</f>
        <v>-58486</v>
      </c>
      <c r="AN29" s="29">
        <f>44819-1</f>
        <v>44818</v>
      </c>
      <c r="AO29" s="29">
        <f>44819-1</f>
        <v>44818</v>
      </c>
      <c r="AP29" s="9"/>
      <c r="AQ29" s="29">
        <v>51309</v>
      </c>
      <c r="AR29" s="29">
        <v>51309</v>
      </c>
      <c r="AS29" s="29">
        <v>59811</v>
      </c>
      <c r="AT29" s="29">
        <v>59811</v>
      </c>
      <c r="AU29" s="29">
        <v>57751</v>
      </c>
      <c r="AV29" s="29">
        <v>91625</v>
      </c>
      <c r="AW29" s="9"/>
      <c r="AX29" s="29">
        <v>55538</v>
      </c>
      <c r="AY29" s="153">
        <v>61624</v>
      </c>
      <c r="AZ29" s="153">
        <v>61589</v>
      </c>
      <c r="BA29" s="153">
        <v>55631</v>
      </c>
      <c r="BB29" s="9"/>
      <c r="BC29" s="153">
        <v>55999</v>
      </c>
      <c r="BD29" s="153">
        <v>51399</v>
      </c>
      <c r="BE29" s="153">
        <f>50557-1</f>
        <v>50556</v>
      </c>
      <c r="BF29" s="153">
        <f>50853+1</f>
        <v>50854</v>
      </c>
      <c r="BG29" s="9"/>
      <c r="BH29" s="153">
        <f>36249+1</f>
        <v>36250</v>
      </c>
      <c r="BI29" s="153">
        <v>35319</v>
      </c>
      <c r="BJ29" s="153">
        <v>35410</v>
      </c>
      <c r="BK29" s="153">
        <v>30884</v>
      </c>
      <c r="BL29" s="9"/>
      <c r="BM29" s="153">
        <v>29379</v>
      </c>
      <c r="BN29" s="153">
        <v>26341</v>
      </c>
      <c r="BO29" s="153">
        <v>25719</v>
      </c>
      <c r="BP29" s="153">
        <v>24517</v>
      </c>
    </row>
    <row r="30" spans="2:68" ht="12.5">
      <c r="B30" s="8" t="s">
        <v>12</v>
      </c>
      <c r="C30" s="62">
        <v>49888</v>
      </c>
      <c r="D30" s="29">
        <v>52310.244474430001</v>
      </c>
      <c r="E30" s="29">
        <v>40892</v>
      </c>
      <c r="F30" s="29">
        <v>52226</v>
      </c>
      <c r="G30" s="19"/>
      <c r="H30" s="29">
        <v>53907</v>
      </c>
      <c r="I30" s="29">
        <v>46027</v>
      </c>
      <c r="J30" s="29">
        <v>57854</v>
      </c>
      <c r="K30" s="29">
        <v>77136</v>
      </c>
      <c r="L30" s="29">
        <v>78653</v>
      </c>
      <c r="N30" s="29">
        <v>54764</v>
      </c>
      <c r="O30" s="29">
        <v>54764</v>
      </c>
      <c r="P30" s="29">
        <v>60111</v>
      </c>
      <c r="Q30" s="29">
        <v>60111</v>
      </c>
      <c r="R30" s="29">
        <v>58651</v>
      </c>
      <c r="S30" s="29">
        <v>58651</v>
      </c>
      <c r="T30" s="29">
        <v>56747</v>
      </c>
      <c r="U30" s="29">
        <v>56747</v>
      </c>
      <c r="W30" s="29">
        <f>54732</f>
        <v>54732</v>
      </c>
      <c r="X30" s="29">
        <v>54732</v>
      </c>
      <c r="Y30" s="29">
        <v>56284</v>
      </c>
      <c r="Z30" s="29">
        <f>56284-1</f>
        <v>56283</v>
      </c>
      <c r="AA30" s="29">
        <f>52748-1</f>
        <v>52747</v>
      </c>
      <c r="AB30" s="29">
        <f>52748</f>
        <v>52748</v>
      </c>
      <c r="AC30" s="29">
        <f>58360</f>
        <v>58360</v>
      </c>
      <c r="AD30" s="29">
        <f>58360</f>
        <v>58360</v>
      </c>
      <c r="AE30" s="29"/>
      <c r="AF30" s="29">
        <v>53841</v>
      </c>
      <c r="AG30" s="29">
        <v>53841</v>
      </c>
      <c r="AH30" s="29">
        <v>55810</v>
      </c>
      <c r="AI30" s="29">
        <v>55810</v>
      </c>
      <c r="AJ30" s="29">
        <f>57128+1</f>
        <v>57129</v>
      </c>
      <c r="AK30" s="29">
        <f>57128+1</f>
        <v>57129</v>
      </c>
      <c r="AN30" s="29">
        <v>62609</v>
      </c>
      <c r="AO30" s="29">
        <v>62609</v>
      </c>
      <c r="AQ30" s="29">
        <v>54074</v>
      </c>
      <c r="AR30" s="29">
        <v>54074</v>
      </c>
      <c r="AS30" s="29">
        <f>72332+1</f>
        <v>72333</v>
      </c>
      <c r="AT30" s="29">
        <f>72332+1</f>
        <v>72333</v>
      </c>
      <c r="AU30" s="29">
        <f>59534-1</f>
        <v>59533</v>
      </c>
      <c r="AV30" s="29">
        <v>55461</v>
      </c>
      <c r="AX30" s="29">
        <v>58784</v>
      </c>
      <c r="AY30" s="153">
        <v>47564</v>
      </c>
      <c r="AZ30" s="153">
        <v>55266</v>
      </c>
      <c r="BA30" s="153">
        <f>60366-1</f>
        <v>60365</v>
      </c>
      <c r="BC30" s="153">
        <v>60407</v>
      </c>
      <c r="BD30" s="153">
        <f>56991-1</f>
        <v>56990</v>
      </c>
      <c r="BE30" s="153">
        <f>59731-1</f>
        <v>59730</v>
      </c>
      <c r="BF30" s="153">
        <f>65674+1</f>
        <v>65675</v>
      </c>
      <c r="BH30" s="153">
        <v>67866</v>
      </c>
      <c r="BI30" s="153">
        <v>72913</v>
      </c>
      <c r="BJ30" s="153">
        <v>71223</v>
      </c>
      <c r="BK30" s="153">
        <f>75006-1</f>
        <v>75005</v>
      </c>
      <c r="BL30" s="9"/>
      <c r="BM30" s="153">
        <v>82296</v>
      </c>
      <c r="BN30" s="153">
        <v>71712</v>
      </c>
      <c r="BO30" s="153">
        <v>68348</v>
      </c>
      <c r="BP30" s="153">
        <v>83789</v>
      </c>
    </row>
    <row r="31" spans="2:68" ht="12.5">
      <c r="B31" s="8" t="s">
        <v>24</v>
      </c>
      <c r="C31" s="62">
        <v>5039</v>
      </c>
      <c r="D31" s="29">
        <v>-3113.46830413</v>
      </c>
      <c r="E31" s="29">
        <v>16251</v>
      </c>
      <c r="F31" s="29">
        <v>26694</v>
      </c>
      <c r="G31" s="19"/>
      <c r="H31" s="29">
        <v>6548</v>
      </c>
      <c r="I31" s="29">
        <v>10797</v>
      </c>
      <c r="J31" s="29">
        <v>-2171</v>
      </c>
      <c r="K31" s="29">
        <f>21618</f>
        <v>21618</v>
      </c>
      <c r="L31" s="29">
        <v>19443</v>
      </c>
      <c r="N31" s="29">
        <v>10603</v>
      </c>
      <c r="O31" s="29">
        <v>10603</v>
      </c>
      <c r="P31" s="29">
        <v>9382</v>
      </c>
      <c r="Q31" s="29">
        <v>9382</v>
      </c>
      <c r="R31" s="29">
        <v>9415</v>
      </c>
      <c r="S31" s="29">
        <v>9415</v>
      </c>
      <c r="T31" s="29">
        <v>10215</v>
      </c>
      <c r="U31" s="29">
        <v>10215</v>
      </c>
      <c r="W31" s="29">
        <v>7972</v>
      </c>
      <c r="X31" s="29">
        <v>7972</v>
      </c>
      <c r="Y31" s="29">
        <v>8213</v>
      </c>
      <c r="Z31" s="29">
        <f>8213+1</f>
        <v>8214</v>
      </c>
      <c r="AA31" s="29">
        <f>9303+1</f>
        <v>9304</v>
      </c>
      <c r="AB31" s="29">
        <f>9303</f>
        <v>9303</v>
      </c>
      <c r="AC31" s="29">
        <v>9923</v>
      </c>
      <c r="AD31" s="29">
        <v>9923</v>
      </c>
      <c r="AE31" s="29"/>
      <c r="AF31" s="29">
        <v>8231</v>
      </c>
      <c r="AG31" s="29">
        <v>8231</v>
      </c>
      <c r="AH31" s="29">
        <f>7434-1</f>
        <v>7433</v>
      </c>
      <c r="AI31" s="29">
        <f>7434-1</f>
        <v>7433</v>
      </c>
      <c r="AJ31" s="29">
        <v>8493</v>
      </c>
      <c r="AK31" s="29">
        <v>8493</v>
      </c>
      <c r="AN31" s="29">
        <v>8638</v>
      </c>
      <c r="AO31" s="29">
        <v>8638</v>
      </c>
      <c r="AQ31" s="29">
        <v>8971</v>
      </c>
      <c r="AR31" s="29">
        <v>8971</v>
      </c>
      <c r="AS31" s="29">
        <v>9692</v>
      </c>
      <c r="AT31" s="29">
        <v>9692</v>
      </c>
      <c r="AU31" s="29">
        <v>9919</v>
      </c>
      <c r="AV31" s="29">
        <f>10038-1</f>
        <v>10037</v>
      </c>
      <c r="AX31" s="29">
        <v>10064</v>
      </c>
      <c r="AY31" s="153">
        <v>10859</v>
      </c>
      <c r="AZ31" s="153">
        <v>10833</v>
      </c>
      <c r="BA31" s="153">
        <v>9130</v>
      </c>
      <c r="BC31" s="153">
        <v>10440</v>
      </c>
      <c r="BD31" s="153">
        <v>10800</v>
      </c>
      <c r="BE31" s="153">
        <f>11742+2</f>
        <v>11744</v>
      </c>
      <c r="BF31" s="153">
        <f>11087-1</f>
        <v>11086</v>
      </c>
      <c r="BH31" s="153">
        <v>11048</v>
      </c>
      <c r="BI31" s="153">
        <v>10949</v>
      </c>
      <c r="BJ31" s="153">
        <v>12193</v>
      </c>
      <c r="BK31" s="153">
        <f>12976+1</f>
        <v>12977</v>
      </c>
      <c r="BL31" s="9"/>
      <c r="BM31" s="153">
        <v>13620</v>
      </c>
      <c r="BN31" s="153">
        <v>12790</v>
      </c>
      <c r="BO31" s="153">
        <v>11830</v>
      </c>
      <c r="BP31" s="153">
        <v>11730</v>
      </c>
    </row>
    <row r="32" spans="2:68" ht="12.5">
      <c r="C32" s="19"/>
      <c r="D32" s="44"/>
      <c r="E32" s="44"/>
      <c r="F32" s="44"/>
      <c r="G32" s="19"/>
      <c r="H32" s="44"/>
      <c r="I32" s="44"/>
      <c r="J32" s="44"/>
      <c r="K32" s="44"/>
      <c r="L32" s="44"/>
      <c r="N32" s="44"/>
      <c r="O32" s="44"/>
      <c r="P32" s="44"/>
      <c r="Q32" s="44"/>
      <c r="R32" s="44"/>
      <c r="S32" s="44"/>
      <c r="T32" s="44"/>
      <c r="U32" s="44"/>
      <c r="W32" s="44"/>
      <c r="X32" s="44"/>
      <c r="Y32" s="44"/>
      <c r="Z32" s="44"/>
      <c r="AA32" s="44"/>
      <c r="AB32" s="44"/>
      <c r="AC32" s="44"/>
      <c r="AD32" s="44"/>
      <c r="AE32" s="44"/>
      <c r="AF32" s="44"/>
      <c r="AG32" s="44"/>
      <c r="AH32" s="44"/>
      <c r="AI32" s="44"/>
      <c r="AJ32" s="44"/>
      <c r="AK32" s="44"/>
      <c r="AN32" s="44"/>
      <c r="AO32" s="44"/>
      <c r="AQ32" s="44"/>
      <c r="AR32" s="44"/>
      <c r="AS32" s="44"/>
      <c r="AT32" s="44"/>
      <c r="AU32" s="44"/>
      <c r="AV32" s="44"/>
      <c r="AX32" s="44"/>
      <c r="AY32" s="44"/>
      <c r="AZ32" s="44"/>
      <c r="BA32" s="44"/>
      <c r="BC32" s="44"/>
      <c r="BD32" s="44"/>
      <c r="BE32" s="44"/>
      <c r="BF32" s="44"/>
      <c r="BH32" s="44"/>
      <c r="BI32" s="44"/>
      <c r="BJ32" s="44"/>
      <c r="BK32" s="44"/>
      <c r="BL32" s="9"/>
      <c r="BM32" s="44"/>
      <c r="BN32" s="44"/>
      <c r="BO32" s="44"/>
      <c r="BP32" s="44"/>
    </row>
    <row r="33" spans="2:68" ht="15" customHeight="1">
      <c r="B33" s="2" t="s">
        <v>14</v>
      </c>
      <c r="C33" s="58">
        <f>+C34-C35-C36</f>
        <v>-20908</v>
      </c>
      <c r="D33" s="58">
        <f>+D34-D35-D36</f>
        <v>-15806.034953820001</v>
      </c>
      <c r="E33" s="58">
        <f>+E34-E35-E36</f>
        <v>-44938</v>
      </c>
      <c r="F33" s="58">
        <f>+F34-F35-F36</f>
        <v>23371</v>
      </c>
      <c r="G33" s="19"/>
      <c r="H33" s="58">
        <f>+H34-H35-H36</f>
        <v>-109849</v>
      </c>
      <c r="I33" s="58">
        <f>+I34-I35-I36</f>
        <v>11651</v>
      </c>
      <c r="J33" s="58">
        <f>+J34-J35-J36</f>
        <v>-18378</v>
      </c>
      <c r="K33" s="58">
        <f>+K34-K35-K36</f>
        <v>23488</v>
      </c>
      <c r="L33" s="58">
        <f>+L34-L35-L36</f>
        <v>12046</v>
      </c>
      <c r="M33" s="58">
        <f t="shared" ref="M33" si="42">+SUM(M34:M36)</f>
        <v>0</v>
      </c>
      <c r="N33" s="58">
        <f t="shared" ref="N33:U33" si="43">+N34-N35-N36</f>
        <v>-125617</v>
      </c>
      <c r="O33" s="58">
        <f t="shared" si="43"/>
        <v>-115100</v>
      </c>
      <c r="P33" s="58">
        <f t="shared" si="43"/>
        <v>-34930</v>
      </c>
      <c r="Q33" s="58">
        <f t="shared" si="43"/>
        <v>-32384</v>
      </c>
      <c r="R33" s="58">
        <f t="shared" si="43"/>
        <v>-32286</v>
      </c>
      <c r="S33" s="58">
        <f t="shared" si="43"/>
        <v>-17065</v>
      </c>
      <c r="T33" s="58">
        <f t="shared" si="43"/>
        <v>82399</v>
      </c>
      <c r="U33" s="58">
        <f t="shared" si="43"/>
        <v>74714</v>
      </c>
      <c r="W33" s="58">
        <f t="shared" ref="W33:AD33" si="44">+W34-W35-W36</f>
        <v>71208</v>
      </c>
      <c r="X33" s="58">
        <f t="shared" si="44"/>
        <v>71208</v>
      </c>
      <c r="Y33" s="58">
        <f t="shared" si="44"/>
        <v>-2988</v>
      </c>
      <c r="Z33" s="58">
        <f t="shared" si="44"/>
        <v>-2989</v>
      </c>
      <c r="AA33" s="58">
        <f t="shared" si="44"/>
        <v>-46172</v>
      </c>
      <c r="AB33" s="58">
        <f t="shared" si="44"/>
        <v>-46171</v>
      </c>
      <c r="AC33" s="58">
        <f t="shared" si="44"/>
        <v>123358</v>
      </c>
      <c r="AD33" s="58">
        <f t="shared" si="44"/>
        <v>123358</v>
      </c>
      <c r="AE33" s="58"/>
      <c r="AF33" s="58">
        <f t="shared" ref="AF33:AK33" si="45">+AF34-AF35-AF36</f>
        <v>83103</v>
      </c>
      <c r="AG33" s="58">
        <f t="shared" si="45"/>
        <v>83103</v>
      </c>
      <c r="AH33" s="58">
        <f t="shared" si="45"/>
        <v>-74743</v>
      </c>
      <c r="AI33" s="58">
        <f t="shared" si="45"/>
        <v>-74743</v>
      </c>
      <c r="AJ33" s="58">
        <f t="shared" si="45"/>
        <v>13936</v>
      </c>
      <c r="AK33" s="58">
        <f t="shared" si="45"/>
        <v>13936</v>
      </c>
      <c r="AN33" s="58">
        <f>+AN34-AN35-AN36</f>
        <v>107255</v>
      </c>
      <c r="AO33" s="58">
        <f>+AO34-AO35-AO36</f>
        <v>107255</v>
      </c>
      <c r="AQ33" s="58">
        <f t="shared" ref="AQ33:AV33" si="46">+AQ34-AQ35-AQ36</f>
        <v>16879</v>
      </c>
      <c r="AR33" s="58">
        <f t="shared" si="46"/>
        <v>16879</v>
      </c>
      <c r="AS33" s="58">
        <f t="shared" si="46"/>
        <v>30763</v>
      </c>
      <c r="AT33" s="58">
        <f t="shared" si="46"/>
        <v>12239</v>
      </c>
      <c r="AU33" s="58">
        <f t="shared" si="46"/>
        <v>31099</v>
      </c>
      <c r="AV33" s="58">
        <f t="shared" si="46"/>
        <v>335458</v>
      </c>
      <c r="AX33" s="58">
        <v>17119</v>
      </c>
      <c r="AY33" s="256">
        <v>-4404</v>
      </c>
      <c r="AZ33" s="256">
        <v>5675</v>
      </c>
      <c r="BA33" s="256">
        <f>+BA34-BA35-BA36</f>
        <v>-50749</v>
      </c>
      <c r="BC33" s="256">
        <f>+BC34-BC35-BC36</f>
        <v>-14161</v>
      </c>
      <c r="BD33" s="256">
        <f>+BD34-BD35-BD36</f>
        <v>189632</v>
      </c>
      <c r="BE33" s="256">
        <f>+BE34-BE35-BE36</f>
        <v>9737</v>
      </c>
      <c r="BF33" s="256">
        <f>+BF34-BF35-BF36</f>
        <v>-250902</v>
      </c>
      <c r="BH33" s="256">
        <f>+BH34-BH35-BH36</f>
        <v>94581</v>
      </c>
      <c r="BI33" s="256">
        <f>+BI34-BI35-BI36</f>
        <v>38247</v>
      </c>
      <c r="BJ33" s="256">
        <v>-104664</v>
      </c>
      <c r="BK33" s="256">
        <f>+BK34-BK35-BK36</f>
        <v>55949</v>
      </c>
      <c r="BL33" s="9"/>
      <c r="BM33" s="256">
        <v>-40400</v>
      </c>
      <c r="BN33" s="256">
        <v>-23984</v>
      </c>
      <c r="BO33" s="256">
        <f>+BO34-BO35-BO36</f>
        <v>35458</v>
      </c>
      <c r="BP33" s="256">
        <v>60355</v>
      </c>
    </row>
    <row r="34" spans="2:68" ht="15" customHeight="1">
      <c r="B34" s="51" t="s">
        <v>10</v>
      </c>
      <c r="C34" s="62">
        <v>8251</v>
      </c>
      <c r="D34" s="29">
        <v>14873.740913690001</v>
      </c>
      <c r="E34" s="29">
        <v>21754</v>
      </c>
      <c r="F34" s="29">
        <v>112178</v>
      </c>
      <c r="G34" s="19"/>
      <c r="H34" s="29">
        <f>22025+1</f>
        <v>22026</v>
      </c>
      <c r="I34" s="29">
        <f>63830-2</f>
        <v>63828</v>
      </c>
      <c r="J34" s="29">
        <f>31718</f>
        <v>31718</v>
      </c>
      <c r="K34" s="29">
        <v>77032</v>
      </c>
      <c r="L34" s="29">
        <v>80799</v>
      </c>
      <c r="N34" s="29">
        <v>23708</v>
      </c>
      <c r="O34" s="29">
        <v>23707</v>
      </c>
      <c r="P34" s="29">
        <v>27776</v>
      </c>
      <c r="Q34" s="29">
        <v>27776</v>
      </c>
      <c r="R34" s="29">
        <v>23052</v>
      </c>
      <c r="S34" s="29">
        <v>32768</v>
      </c>
      <c r="T34" s="29">
        <f>453631+1</f>
        <v>453632</v>
      </c>
      <c r="U34" s="29">
        <f>443916+1</f>
        <v>443917</v>
      </c>
      <c r="W34" s="29">
        <v>161888</v>
      </c>
      <c r="X34" s="29">
        <v>161888</v>
      </c>
      <c r="Y34" s="29">
        <v>17790</v>
      </c>
      <c r="Z34" s="29">
        <f>17790+1</f>
        <v>17791</v>
      </c>
      <c r="AA34" s="29">
        <v>18400</v>
      </c>
      <c r="AB34" s="29">
        <v>18400</v>
      </c>
      <c r="AC34" s="29">
        <v>178759</v>
      </c>
      <c r="AD34" s="29">
        <v>178759</v>
      </c>
      <c r="AE34" s="29"/>
      <c r="AF34" s="29">
        <v>124768</v>
      </c>
      <c r="AG34" s="29">
        <v>124768</v>
      </c>
      <c r="AH34" s="29">
        <v>25381</v>
      </c>
      <c r="AI34" s="29">
        <v>25381</v>
      </c>
      <c r="AJ34" s="29">
        <v>50127</v>
      </c>
      <c r="AK34" s="29">
        <v>50127</v>
      </c>
      <c r="AN34" s="29">
        <v>156613</v>
      </c>
      <c r="AO34" s="29">
        <v>156613</v>
      </c>
      <c r="AQ34" s="29">
        <v>51085</v>
      </c>
      <c r="AR34" s="29">
        <v>51085</v>
      </c>
      <c r="AS34" s="29">
        <v>80819</v>
      </c>
      <c r="AT34" s="29">
        <v>62295</v>
      </c>
      <c r="AU34" s="29">
        <v>61925</v>
      </c>
      <c r="AV34" s="29">
        <v>497511</v>
      </c>
      <c r="AW34" s="9"/>
      <c r="AX34" s="29">
        <v>51301</v>
      </c>
      <c r="AY34" s="153">
        <v>24671</v>
      </c>
      <c r="AZ34" s="153">
        <v>38214</v>
      </c>
      <c r="BA34" s="153">
        <v>60737</v>
      </c>
      <c r="BB34" s="9"/>
      <c r="BC34" s="153">
        <v>23498</v>
      </c>
      <c r="BD34" s="153">
        <f>227206+1</f>
        <v>227207</v>
      </c>
      <c r="BE34" s="153">
        <v>43371</v>
      </c>
      <c r="BF34" s="153">
        <v>1931396</v>
      </c>
      <c r="BG34" s="9"/>
      <c r="BH34" s="153">
        <v>130921</v>
      </c>
      <c r="BI34" s="153">
        <v>65166</v>
      </c>
      <c r="BJ34" s="153">
        <v>38058</v>
      </c>
      <c r="BK34" s="153">
        <v>127768</v>
      </c>
      <c r="BL34" s="9"/>
      <c r="BM34" s="153">
        <v>38062</v>
      </c>
      <c r="BN34" s="153">
        <v>37323</v>
      </c>
      <c r="BO34" s="153">
        <v>30688</v>
      </c>
      <c r="BP34" s="153">
        <v>192404</v>
      </c>
    </row>
    <row r="35" spans="2:68" ht="15" customHeight="1">
      <c r="B35" s="8" t="s">
        <v>11</v>
      </c>
      <c r="C35" s="62">
        <v>29159</v>
      </c>
      <c r="D35" s="29">
        <v>30679.775867510001</v>
      </c>
      <c r="E35" s="29">
        <v>66692</v>
      </c>
      <c r="F35" s="29">
        <f>88808-1</f>
        <v>88807</v>
      </c>
      <c r="G35" s="19"/>
      <c r="H35" s="29">
        <v>26711</v>
      </c>
      <c r="I35" s="29">
        <v>52465</v>
      </c>
      <c r="J35" s="29">
        <v>48704</v>
      </c>
      <c r="K35" s="29">
        <f>53541+1</f>
        <v>53542</v>
      </c>
      <c r="L35" s="29">
        <v>68753</v>
      </c>
      <c r="N35" s="29">
        <v>50019</v>
      </c>
      <c r="O35" s="29">
        <f>50019-12377</f>
        <v>37642</v>
      </c>
      <c r="P35" s="29">
        <v>61397</v>
      </c>
      <c r="Q35" s="29">
        <f>61397-2546</f>
        <v>58851</v>
      </c>
      <c r="R35" s="29">
        <v>54718</v>
      </c>
      <c r="S35" s="29">
        <f>36149+18569-3646</f>
        <v>51072</v>
      </c>
      <c r="T35" s="29">
        <v>371599</v>
      </c>
      <c r="U35" s="29">
        <f>369570-1</f>
        <v>369569</v>
      </c>
      <c r="W35" s="29">
        <f>59794-8804</f>
        <v>50990</v>
      </c>
      <c r="X35" s="29">
        <f>59794-8804</f>
        <v>50990</v>
      </c>
      <c r="Y35" s="29">
        <f>23608-2910</f>
        <v>20698</v>
      </c>
      <c r="Z35" s="29">
        <f>23608-2910+1</f>
        <v>20699</v>
      </c>
      <c r="AA35" s="29">
        <f>52858+15302-3588</f>
        <v>64572</v>
      </c>
      <c r="AB35" s="29">
        <f>52858+15302-3588-1</f>
        <v>64571</v>
      </c>
      <c r="AC35" s="29">
        <v>55401</v>
      </c>
      <c r="AD35" s="29">
        <v>55401</v>
      </c>
      <c r="AE35" s="29"/>
      <c r="AF35" s="29">
        <v>41665</v>
      </c>
      <c r="AG35" s="29">
        <v>41665</v>
      </c>
      <c r="AH35" s="29">
        <v>100124</v>
      </c>
      <c r="AI35" s="29">
        <v>100124</v>
      </c>
      <c r="AJ35" s="29">
        <v>36191</v>
      </c>
      <c r="AK35" s="29">
        <v>36191</v>
      </c>
      <c r="AN35" s="29">
        <v>49358</v>
      </c>
      <c r="AO35" s="29">
        <v>49358</v>
      </c>
      <c r="AQ35" s="29">
        <v>34206</v>
      </c>
      <c r="AR35" s="29">
        <v>34206</v>
      </c>
      <c r="AS35" s="29">
        <f>50055+1</f>
        <v>50056</v>
      </c>
      <c r="AT35" s="29">
        <f>50055+1</f>
        <v>50056</v>
      </c>
      <c r="AU35" s="29">
        <v>30826</v>
      </c>
      <c r="AV35" s="29">
        <f>162054-1</f>
        <v>162053</v>
      </c>
      <c r="AX35" s="29">
        <v>34182</v>
      </c>
      <c r="AY35" s="153">
        <v>29075</v>
      </c>
      <c r="AZ35" s="153">
        <v>32539</v>
      </c>
      <c r="BA35" s="153">
        <v>111486</v>
      </c>
      <c r="BC35" s="153">
        <v>37659</v>
      </c>
      <c r="BD35" s="153">
        <v>37575</v>
      </c>
      <c r="BE35" s="153">
        <v>33634</v>
      </c>
      <c r="BF35" s="153">
        <v>2182298</v>
      </c>
      <c r="BH35" s="153">
        <v>36340</v>
      </c>
      <c r="BI35" s="153">
        <v>26919</v>
      </c>
      <c r="BJ35" s="153">
        <v>142722</v>
      </c>
      <c r="BK35" s="153">
        <f>71820-1</f>
        <v>71819</v>
      </c>
      <c r="BL35" s="9"/>
      <c r="BM35" s="153">
        <v>78462</v>
      </c>
      <c r="BN35" s="153">
        <v>61307</v>
      </c>
      <c r="BO35" s="153">
        <v>-4770</v>
      </c>
      <c r="BP35" s="153">
        <v>132049</v>
      </c>
    </row>
    <row r="36" spans="2:68" ht="12.5">
      <c r="B36" s="8" t="s">
        <v>20</v>
      </c>
      <c r="C36" s="62">
        <v>0</v>
      </c>
      <c r="D36" s="140">
        <v>0</v>
      </c>
      <c r="E36" s="140">
        <v>0</v>
      </c>
      <c r="F36" s="140"/>
      <c r="G36" s="19"/>
      <c r="H36" s="140">
        <v>105164</v>
      </c>
      <c r="I36" s="140">
        <f>-287-1</f>
        <v>-288</v>
      </c>
      <c r="J36" s="140">
        <v>1392</v>
      </c>
      <c r="K36" s="140">
        <v>2</v>
      </c>
      <c r="L36" s="140">
        <v>0</v>
      </c>
      <c r="N36" s="140">
        <v>99306</v>
      </c>
      <c r="O36" s="140">
        <v>101165</v>
      </c>
      <c r="P36" s="29">
        <v>1309</v>
      </c>
      <c r="Q36" s="29">
        <v>1309</v>
      </c>
      <c r="R36" s="29">
        <v>620</v>
      </c>
      <c r="S36" s="29">
        <v>-1239</v>
      </c>
      <c r="T36" s="29">
        <v>-366</v>
      </c>
      <c r="U36" s="29">
        <v>-366</v>
      </c>
      <c r="W36" s="140">
        <v>39690</v>
      </c>
      <c r="X36" s="140">
        <v>39690</v>
      </c>
      <c r="Y36" s="140">
        <v>80</v>
      </c>
      <c r="Z36" s="140">
        <f>80+1</f>
        <v>81</v>
      </c>
      <c r="AA36" s="140">
        <v>0</v>
      </c>
      <c r="AB36" s="140">
        <v>0</v>
      </c>
      <c r="AC36" s="140">
        <v>0</v>
      </c>
      <c r="AD36" s="140">
        <v>0</v>
      </c>
      <c r="AE36" s="140"/>
      <c r="AF36" s="140">
        <v>0</v>
      </c>
      <c r="AG36" s="140">
        <v>0</v>
      </c>
      <c r="AH36" s="140">
        <v>0</v>
      </c>
      <c r="AI36" s="140">
        <v>0</v>
      </c>
      <c r="AJ36" s="140">
        <v>0</v>
      </c>
      <c r="AK36" s="140">
        <v>0</v>
      </c>
      <c r="AN36" s="140">
        <v>0</v>
      </c>
      <c r="AO36" s="140">
        <v>0</v>
      </c>
      <c r="AQ36" s="140">
        <v>0</v>
      </c>
      <c r="AR36" s="140">
        <v>0</v>
      </c>
      <c r="AS36" s="140">
        <v>0</v>
      </c>
      <c r="AT36" s="140">
        <v>0</v>
      </c>
      <c r="AU36" s="140">
        <v>0</v>
      </c>
      <c r="AV36" s="140">
        <v>0</v>
      </c>
      <c r="AX36" s="140">
        <v>0</v>
      </c>
      <c r="AY36" s="257">
        <v>0</v>
      </c>
      <c r="AZ36" s="257">
        <v>0</v>
      </c>
      <c r="BA36" s="257">
        <v>0</v>
      </c>
      <c r="BC36" s="257">
        <v>0</v>
      </c>
      <c r="BD36" s="257">
        <v>0</v>
      </c>
      <c r="BE36" s="257">
        <v>0</v>
      </c>
      <c r="BF36" s="257">
        <v>0</v>
      </c>
      <c r="BH36" s="257">
        <v>0</v>
      </c>
      <c r="BI36" s="257">
        <v>0</v>
      </c>
      <c r="BJ36" s="257">
        <v>0</v>
      </c>
      <c r="BK36" s="257">
        <v>0</v>
      </c>
      <c r="BL36" s="9"/>
      <c r="BM36" s="257">
        <v>0</v>
      </c>
      <c r="BN36" s="257">
        <v>0</v>
      </c>
      <c r="BO36" s="257">
        <v>0</v>
      </c>
      <c r="BP36" s="257">
        <v>0</v>
      </c>
    </row>
    <row r="37" spans="2:68" ht="4.5" customHeight="1">
      <c r="C37" s="19"/>
      <c r="D37" s="17"/>
      <c r="E37" s="17"/>
      <c r="F37" s="17"/>
      <c r="G37" s="19"/>
      <c r="H37" s="17"/>
      <c r="I37" s="17"/>
      <c r="J37" s="17"/>
      <c r="K37" s="17"/>
      <c r="L37" s="17"/>
      <c r="N37" s="17"/>
      <c r="O37" s="17"/>
      <c r="P37" s="17"/>
      <c r="Q37" s="17"/>
      <c r="R37" s="17"/>
      <c r="S37" s="17"/>
      <c r="T37" s="17"/>
      <c r="U37" s="17"/>
      <c r="W37" s="17"/>
      <c r="X37" s="17"/>
      <c r="Y37" s="17"/>
      <c r="Z37" s="17"/>
      <c r="AA37" s="17"/>
      <c r="AB37" s="17"/>
      <c r="AC37" s="17"/>
      <c r="AD37" s="17"/>
      <c r="AE37" s="17"/>
      <c r="AF37" s="17"/>
      <c r="AG37" s="17"/>
      <c r="AH37" s="17"/>
      <c r="AI37" s="17"/>
      <c r="AJ37" s="17"/>
      <c r="AK37" s="17"/>
      <c r="AN37" s="17"/>
      <c r="AO37" s="17"/>
      <c r="AQ37" s="17"/>
      <c r="AR37" s="17"/>
      <c r="AS37" s="17"/>
      <c r="AT37" s="17"/>
      <c r="AU37" s="17"/>
      <c r="AV37" s="17"/>
      <c r="AX37" s="17"/>
      <c r="AY37" s="17"/>
      <c r="AZ37" s="17"/>
      <c r="BA37" s="17"/>
      <c r="BC37" s="17"/>
      <c r="BD37" s="17"/>
      <c r="BE37" s="17"/>
      <c r="BF37" s="17"/>
      <c r="BH37" s="17"/>
      <c r="BI37" s="17"/>
      <c r="BJ37" s="17"/>
      <c r="BK37" s="17"/>
      <c r="BL37" s="9"/>
      <c r="BM37" s="17"/>
      <c r="BN37" s="17"/>
      <c r="BO37" s="17"/>
      <c r="BP37" s="17"/>
    </row>
    <row r="38" spans="2:68" s="2" customFormat="1" ht="16.5" customHeight="1">
      <c r="B38" s="2" t="s">
        <v>13</v>
      </c>
      <c r="C38" s="48">
        <f>+C24-C27+C33</f>
        <v>657464</v>
      </c>
      <c r="D38" s="48">
        <f>+D24-D27+D33</f>
        <v>572481.91089914984</v>
      </c>
      <c r="E38" s="48">
        <f>+E24-E27+E33</f>
        <v>322148</v>
      </c>
      <c r="F38" s="48">
        <f>+F24-F27+F33</f>
        <v>111077</v>
      </c>
      <c r="G38" s="19"/>
      <c r="H38" s="48">
        <f>+H24-H27+H33</f>
        <v>343755</v>
      </c>
      <c r="I38" s="48">
        <f t="shared" ref="I38:L38" si="47">+I24-I27+I33</f>
        <v>562513</v>
      </c>
      <c r="J38" s="48">
        <f t="shared" si="47"/>
        <v>454461</v>
      </c>
      <c r="K38" s="48">
        <f t="shared" si="47"/>
        <v>270282</v>
      </c>
      <c r="L38" s="48">
        <f t="shared" si="47"/>
        <v>264504</v>
      </c>
      <c r="N38" s="48">
        <f t="shared" ref="N38:T38" si="48">+N24-N27+N33</f>
        <v>603138</v>
      </c>
      <c r="O38" s="48">
        <f t="shared" si="48"/>
        <v>599309</v>
      </c>
      <c r="P38" s="48">
        <f t="shared" si="48"/>
        <v>642761</v>
      </c>
      <c r="Q38" s="48">
        <f t="shared" si="48"/>
        <v>650249</v>
      </c>
      <c r="R38" s="48">
        <f t="shared" si="48"/>
        <v>622318</v>
      </c>
      <c r="S38" s="48">
        <f t="shared" ref="S38" si="49">+S24-S27+S33</f>
        <v>664144</v>
      </c>
      <c r="T38" s="48">
        <f t="shared" si="48"/>
        <v>567821</v>
      </c>
      <c r="U38" s="48">
        <f t="shared" ref="U38" si="50">+U24-U27+U33</f>
        <v>542935</v>
      </c>
      <c r="W38" s="48">
        <f t="shared" ref="W38:AC38" si="51">+W24-W27+W33</f>
        <v>495314</v>
      </c>
      <c r="X38" s="48">
        <f t="shared" si="51"/>
        <v>495313</v>
      </c>
      <c r="Y38" s="48">
        <f t="shared" si="51"/>
        <v>556952</v>
      </c>
      <c r="Z38" s="48">
        <f t="shared" si="51"/>
        <v>556951</v>
      </c>
      <c r="AA38" s="48">
        <f t="shared" si="51"/>
        <v>828601</v>
      </c>
      <c r="AB38" s="48">
        <f t="shared" ref="AB38" si="52">+AB24-AB27+AB33</f>
        <v>828602</v>
      </c>
      <c r="AC38" s="48">
        <f t="shared" si="51"/>
        <v>639665</v>
      </c>
      <c r="AD38" s="48">
        <f t="shared" ref="AD38" si="53">+AD24-AD27+AD33</f>
        <v>639667</v>
      </c>
      <c r="AE38" s="48"/>
      <c r="AF38" s="48">
        <f t="shared" ref="AF38:AK38" si="54">+AF24-AF27+AF33</f>
        <v>607137</v>
      </c>
      <c r="AG38" s="48">
        <f t="shared" si="54"/>
        <v>604542</v>
      </c>
      <c r="AH38" s="48">
        <f t="shared" si="54"/>
        <v>545462</v>
      </c>
      <c r="AI38" s="48">
        <f t="shared" si="54"/>
        <v>540759</v>
      </c>
      <c r="AJ38" s="48">
        <f t="shared" si="54"/>
        <v>677312</v>
      </c>
      <c r="AK38" s="48">
        <f t="shared" si="54"/>
        <v>673492</v>
      </c>
      <c r="AN38" s="48">
        <f t="shared" ref="AN38:AO38" si="55">+AN24-AN27+AN33</f>
        <v>789138</v>
      </c>
      <c r="AO38" s="48">
        <f t="shared" si="55"/>
        <v>780918</v>
      </c>
      <c r="AQ38" s="48">
        <f t="shared" ref="AQ38:AV38" si="56">+AQ24-AQ27+AQ33</f>
        <v>609504</v>
      </c>
      <c r="AR38" s="48">
        <f t="shared" si="56"/>
        <v>603092</v>
      </c>
      <c r="AS38" s="48">
        <f t="shared" si="56"/>
        <v>610341</v>
      </c>
      <c r="AT38" s="48">
        <f t="shared" si="56"/>
        <v>602287</v>
      </c>
      <c r="AU38" s="48">
        <f t="shared" si="56"/>
        <v>979335</v>
      </c>
      <c r="AV38" s="48">
        <f t="shared" si="56"/>
        <v>891760</v>
      </c>
      <c r="AX38" s="48">
        <v>396629</v>
      </c>
      <c r="AY38" s="48">
        <v>448972</v>
      </c>
      <c r="AZ38" s="48">
        <v>426512</v>
      </c>
      <c r="BA38" s="48">
        <f t="shared" ref="BA38" si="57">+BA24-BA27+BA33</f>
        <v>366014</v>
      </c>
      <c r="BC38" s="48">
        <f t="shared" ref="BC38:BF38" si="58">+BC24-BC27+BC33</f>
        <v>524558</v>
      </c>
      <c r="BD38" s="48">
        <f t="shared" si="58"/>
        <v>873240</v>
      </c>
      <c r="BE38" s="48">
        <f t="shared" si="58"/>
        <v>729786</v>
      </c>
      <c r="BF38" s="48">
        <f t="shared" si="58"/>
        <v>489870</v>
      </c>
      <c r="BH38" s="48">
        <f t="shared" ref="BH38:BI38" si="59">+BH24-BH27+BH33</f>
        <v>794578</v>
      </c>
      <c r="BI38" s="48">
        <f t="shared" si="59"/>
        <v>981767</v>
      </c>
      <c r="BJ38" s="48">
        <v>841714</v>
      </c>
      <c r="BK38" s="48">
        <f t="shared" ref="BK38" si="60">+BK24-BK27+BK33</f>
        <v>975206</v>
      </c>
      <c r="BL38" s="9"/>
      <c r="BM38" s="48">
        <v>1202066</v>
      </c>
      <c r="BN38" s="48">
        <v>1212258</v>
      </c>
      <c r="BO38" s="48">
        <f t="shared" ref="BO38" si="61">+BO24-BO27+BO33</f>
        <v>962933</v>
      </c>
      <c r="BP38" s="48">
        <v>768980</v>
      </c>
    </row>
    <row r="39" spans="2:68" s="2" customFormat="1" ht="16.5" hidden="1" customHeight="1">
      <c r="B39" s="60" t="s">
        <v>48</v>
      </c>
      <c r="C39" s="66">
        <v>305.32</v>
      </c>
      <c r="D39" s="66">
        <v>309.13</v>
      </c>
      <c r="E39" s="66">
        <v>163.72999999999999</v>
      </c>
      <c r="F39" s="66">
        <v>56.22</v>
      </c>
      <c r="G39" s="19"/>
      <c r="H39" s="66">
        <v>126.58</v>
      </c>
      <c r="I39" s="66">
        <v>223.73</v>
      </c>
      <c r="J39" s="66">
        <v>154.26</v>
      </c>
      <c r="K39" s="66">
        <v>91.97</v>
      </c>
      <c r="L39" s="66" t="e">
        <f>+#REF!-J39-I39-H39</f>
        <v>#REF!</v>
      </c>
      <c r="N39" s="66">
        <v>126.58</v>
      </c>
      <c r="O39" s="66">
        <v>126.58</v>
      </c>
      <c r="P39" s="66">
        <v>126.58</v>
      </c>
      <c r="Q39" s="66">
        <v>126.58</v>
      </c>
      <c r="R39" s="66">
        <v>126.58</v>
      </c>
      <c r="S39" s="66">
        <v>126.58</v>
      </c>
      <c r="T39" s="66"/>
      <c r="U39" s="66"/>
      <c r="W39" s="66">
        <v>126.58</v>
      </c>
      <c r="X39" s="66">
        <v>126.58</v>
      </c>
      <c r="Y39" s="66">
        <v>126.58</v>
      </c>
      <c r="Z39" s="66">
        <v>126.58</v>
      </c>
      <c r="AA39" s="66">
        <v>126.58</v>
      </c>
      <c r="AB39" s="66">
        <v>126.58</v>
      </c>
      <c r="AC39" s="66">
        <v>126.58</v>
      </c>
      <c r="AD39" s="66">
        <v>126.58</v>
      </c>
      <c r="AE39" s="66"/>
      <c r="AF39" s="66">
        <v>126.58</v>
      </c>
      <c r="AG39" s="66">
        <v>126.58</v>
      </c>
      <c r="AH39" s="66">
        <v>126.58</v>
      </c>
      <c r="AI39" s="66">
        <v>126.58</v>
      </c>
      <c r="AJ39" s="66">
        <v>126.58</v>
      </c>
      <c r="AK39" s="66">
        <v>126.58</v>
      </c>
      <c r="AN39" s="66">
        <v>126.58</v>
      </c>
      <c r="AO39" s="66">
        <v>126.58</v>
      </c>
      <c r="AQ39" s="66">
        <v>126.58</v>
      </c>
      <c r="AR39" s="66">
        <v>126.58</v>
      </c>
      <c r="AS39" s="66">
        <v>126.58</v>
      </c>
      <c r="AT39" s="66">
        <v>126.58</v>
      </c>
      <c r="AU39" s="66">
        <v>126.58</v>
      </c>
      <c r="AV39" s="66">
        <v>126.58</v>
      </c>
      <c r="AX39" s="66">
        <v>126.58</v>
      </c>
      <c r="AY39" s="66">
        <v>126.58</v>
      </c>
      <c r="AZ39" s="66">
        <v>126.58</v>
      </c>
      <c r="BA39" s="66">
        <v>126.58</v>
      </c>
      <c r="BC39" s="66">
        <v>126.58</v>
      </c>
      <c r="BD39" s="66">
        <v>126.58</v>
      </c>
      <c r="BE39" s="66">
        <v>126.58</v>
      </c>
      <c r="BF39" s="66">
        <v>126.58</v>
      </c>
      <c r="BH39" s="66">
        <v>126.58</v>
      </c>
      <c r="BI39" s="66">
        <v>126.58</v>
      </c>
      <c r="BJ39" s="66">
        <v>126.58</v>
      </c>
      <c r="BK39" s="66">
        <v>126.58</v>
      </c>
      <c r="BL39" s="9"/>
      <c r="BM39" s="66">
        <v>126.58</v>
      </c>
      <c r="BN39" s="66">
        <v>126.58</v>
      </c>
      <c r="BO39" s="66">
        <v>126.58</v>
      </c>
      <c r="BP39" s="66">
        <v>126.58</v>
      </c>
    </row>
    <row r="40" spans="2:68" ht="16.5" customHeight="1">
      <c r="B40" s="78" t="s">
        <v>47</v>
      </c>
      <c r="C40" s="79">
        <f>+C38/C$10</f>
        <v>0.28675469681935645</v>
      </c>
      <c r="D40" s="79">
        <f>+D38/D$10</f>
        <v>0.2249302540551196</v>
      </c>
      <c r="E40" s="79">
        <f>+E38/E$10</f>
        <v>0.14415431924193553</v>
      </c>
      <c r="F40" s="79">
        <f>+F38/F$10</f>
        <v>4.9953296813255159E-2</v>
      </c>
      <c r="G40" s="80"/>
      <c r="H40" s="79">
        <f>+H38/H$10</f>
        <v>0.1302048020726409</v>
      </c>
      <c r="I40" s="79">
        <f t="shared" ref="I40:L40" si="62">+I38/I$10</f>
        <v>0.19738191658499629</v>
      </c>
      <c r="J40" s="79">
        <f t="shared" si="62"/>
        <v>0.14147125925829079</v>
      </c>
      <c r="K40" s="79">
        <f t="shared" si="62"/>
        <v>6.9708710119861572E-2</v>
      </c>
      <c r="L40" s="79">
        <f t="shared" si="62"/>
        <v>6.6160204825894992E-2</v>
      </c>
      <c r="N40" s="79">
        <f t="shared" ref="N40:T40" si="63">+N38/N$10</f>
        <v>0.14869778678361878</v>
      </c>
      <c r="O40" s="79">
        <f t="shared" si="63"/>
        <v>0.1482474877090999</v>
      </c>
      <c r="P40" s="79">
        <f t="shared" si="63"/>
        <v>0.18929008964436747</v>
      </c>
      <c r="Q40" s="79">
        <f t="shared" si="63"/>
        <v>0.19213249820203299</v>
      </c>
      <c r="R40" s="79">
        <f t="shared" si="63"/>
        <v>0.18509057219379371</v>
      </c>
      <c r="S40" s="79">
        <f t="shared" ref="S40" si="64">+S38/S$10</f>
        <v>0.19522616780342636</v>
      </c>
      <c r="T40" s="79">
        <f t="shared" si="63"/>
        <v>0.15186943883669851</v>
      </c>
      <c r="U40" s="79">
        <f t="shared" ref="U40" si="65">+U38/U$10</f>
        <v>0.14579506761619351</v>
      </c>
      <c r="W40" s="79">
        <f t="shared" ref="W40:AC40" si="66">+W38/W$10</f>
        <v>0.14753809282394761</v>
      </c>
      <c r="X40" s="79">
        <f t="shared" si="66"/>
        <v>0.14753779495614491</v>
      </c>
      <c r="Y40" s="79">
        <f t="shared" si="66"/>
        <v>0.15622194179010992</v>
      </c>
      <c r="Z40" s="79">
        <f t="shared" si="66"/>
        <v>0.15622166129566556</v>
      </c>
      <c r="AA40" s="79">
        <f t="shared" si="66"/>
        <v>0.20378564707398497</v>
      </c>
      <c r="AB40" s="79">
        <f t="shared" ref="AB40" si="67">+AB38/AB$10</f>
        <v>0.20378594313239831</v>
      </c>
      <c r="AC40" s="79">
        <f t="shared" si="66"/>
        <v>0.17841777146046436</v>
      </c>
      <c r="AD40" s="79">
        <f t="shared" ref="AD40" si="68">+AD38/AD$10</f>
        <v>0.17841822977782898</v>
      </c>
      <c r="AE40" s="79"/>
      <c r="AF40" s="79">
        <f t="shared" ref="AF40:AK40" si="69">+AF38/AF$10</f>
        <v>0.18339482369373511</v>
      </c>
      <c r="AG40" s="79">
        <f t="shared" si="69"/>
        <v>0.18275416330103944</v>
      </c>
      <c r="AH40" s="79">
        <f t="shared" si="69"/>
        <v>0.15080050095241782</v>
      </c>
      <c r="AI40" s="79">
        <f t="shared" si="69"/>
        <v>0.14969496784137773</v>
      </c>
      <c r="AJ40" s="79">
        <f t="shared" si="69"/>
        <v>0.18616463665693486</v>
      </c>
      <c r="AK40" s="79">
        <f t="shared" si="69"/>
        <v>0.18530924587183326</v>
      </c>
      <c r="AN40" s="79">
        <f t="shared" ref="AN40:AO40" si="70">+AN38/AN$10</f>
        <v>0.2105426327634024</v>
      </c>
      <c r="AO40" s="79">
        <f t="shared" si="70"/>
        <v>0.20880746651978196</v>
      </c>
      <c r="AQ40" s="79">
        <f t="shared" ref="AQ40:AV40" si="71">+AQ38/AQ$10</f>
        <v>0.16378721936003285</v>
      </c>
      <c r="AR40" s="79">
        <f t="shared" si="71"/>
        <v>0.16234389906172542</v>
      </c>
      <c r="AS40" s="79">
        <f t="shared" si="71"/>
        <v>0.15809624806310785</v>
      </c>
      <c r="AT40" s="79">
        <f t="shared" si="71"/>
        <v>0.15383324555564806</v>
      </c>
      <c r="AU40" s="79">
        <f t="shared" si="71"/>
        <v>0.18733619667742157</v>
      </c>
      <c r="AV40" s="79">
        <f t="shared" si="71"/>
        <v>0.22628884867148938</v>
      </c>
      <c r="AX40" s="79">
        <v>0.10969383663063757</v>
      </c>
      <c r="AY40" s="79">
        <v>0.13418936944697082</v>
      </c>
      <c r="AZ40" s="79">
        <v>0.12351271276384715</v>
      </c>
      <c r="BA40" s="79">
        <f t="shared" ref="BA40" si="72">+BA38/BA$10</f>
        <v>0.10236009294835852</v>
      </c>
      <c r="BC40" s="79">
        <f t="shared" ref="BC40:BF40" si="73">+BC38/BC$10</f>
        <v>0.14051862650394562</v>
      </c>
      <c r="BD40" s="79">
        <f t="shared" si="73"/>
        <v>0.21686653633415984</v>
      </c>
      <c r="BE40" s="79">
        <f t="shared" si="73"/>
        <v>0.17732986831218722</v>
      </c>
      <c r="BF40" s="79">
        <f t="shared" si="73"/>
        <v>0.11047873441667309</v>
      </c>
      <c r="BH40" s="79">
        <f t="shared" ref="BH40:BI40" si="74">+BH38/BH$10</f>
        <v>0.17222116619022404</v>
      </c>
      <c r="BI40" s="79">
        <f t="shared" si="74"/>
        <v>0.16645510096575347</v>
      </c>
      <c r="BJ40" s="79">
        <v>0.16542776428006806</v>
      </c>
      <c r="BK40" s="79">
        <f t="shared" ref="BK40" si="75">+BK38/BK$10</f>
        <v>0.16990231722198179</v>
      </c>
      <c r="BL40" s="9"/>
      <c r="BM40" s="79">
        <v>0.20924043452082655</v>
      </c>
      <c r="BN40" s="79">
        <v>0.18964065893925516</v>
      </c>
      <c r="BO40" s="316">
        <f t="shared" ref="BO40" si="76">+BO38/BO$10</f>
        <v>0.19877489993990924</v>
      </c>
      <c r="BP40" s="79">
        <v>0.13703732216761971</v>
      </c>
    </row>
    <row r="41" spans="2:68" ht="4.5" customHeight="1">
      <c r="B41" s="8"/>
      <c r="C41" s="45"/>
      <c r="D41" s="17"/>
      <c r="E41" s="17"/>
      <c r="F41" s="17"/>
      <c r="G41" s="19"/>
      <c r="H41" s="17"/>
      <c r="I41" s="17"/>
      <c r="J41" s="17"/>
      <c r="K41" s="17"/>
      <c r="L41" s="17"/>
      <c r="N41" s="17"/>
      <c r="O41" s="17"/>
      <c r="P41" s="17"/>
      <c r="Q41" s="17"/>
      <c r="R41" s="17"/>
      <c r="S41" s="17"/>
      <c r="T41" s="17"/>
      <c r="U41" s="17"/>
      <c r="W41" s="17"/>
      <c r="X41" s="17"/>
      <c r="Y41" s="17"/>
      <c r="Z41" s="17"/>
      <c r="AA41" s="17"/>
      <c r="AB41" s="17"/>
      <c r="AC41" s="17"/>
      <c r="AD41" s="17"/>
      <c r="AE41" s="17"/>
      <c r="AF41" s="17"/>
      <c r="AG41" s="17"/>
      <c r="AH41" s="17"/>
      <c r="AI41" s="17"/>
      <c r="AJ41" s="17"/>
      <c r="AK41" s="17"/>
      <c r="AN41" s="17"/>
      <c r="AO41" s="17"/>
      <c r="AQ41" s="17"/>
      <c r="AR41" s="17"/>
      <c r="AS41" s="17"/>
      <c r="AT41" s="17"/>
      <c r="AU41" s="17"/>
      <c r="AV41" s="17"/>
      <c r="AX41" s="17"/>
      <c r="AY41" s="17"/>
      <c r="AZ41" s="17"/>
      <c r="BA41" s="17"/>
      <c r="BC41" s="17"/>
      <c r="BD41" s="17"/>
      <c r="BE41" s="17"/>
      <c r="BF41" s="17"/>
      <c r="BH41" s="17"/>
      <c r="BI41" s="17"/>
      <c r="BJ41" s="17"/>
      <c r="BK41" s="17"/>
      <c r="BL41" s="9"/>
      <c r="BM41" s="17"/>
      <c r="BN41" s="17"/>
      <c r="BO41" s="17"/>
      <c r="BP41" s="17"/>
    </row>
    <row r="42" spans="2:68" s="2" customFormat="1" ht="16.5" customHeight="1">
      <c r="B42" s="57" t="s">
        <v>5</v>
      </c>
      <c r="C42" s="81">
        <f>+C38+C20+C29+C31-C36</f>
        <v>803253</v>
      </c>
      <c r="D42" s="81">
        <f>+D38+D20+D29+D31-D36</f>
        <v>740260.97639072989</v>
      </c>
      <c r="E42" s="81">
        <f>+E38+E20+E29+E31-E36</f>
        <v>458645</v>
      </c>
      <c r="F42" s="81">
        <f>+F38+F20+F29+F31-F36</f>
        <v>222458</v>
      </c>
      <c r="G42" s="75"/>
      <c r="H42" s="81">
        <f>+H38+H20+H29+H31-H36</f>
        <v>459893</v>
      </c>
      <c r="I42" s="81">
        <f t="shared" ref="I42:L42" si="77">+I38+I20+I29+I31-I36</f>
        <v>765822</v>
      </c>
      <c r="J42" s="81">
        <f t="shared" si="77"/>
        <v>679975</v>
      </c>
      <c r="K42" s="81">
        <f t="shared" si="77"/>
        <v>522044</v>
      </c>
      <c r="L42" s="81">
        <f t="shared" si="77"/>
        <v>516407</v>
      </c>
      <c r="N42" s="81">
        <f t="shared" ref="N42:T42" si="78">+N38+N20+N29+N31-N36</f>
        <v>764069</v>
      </c>
      <c r="O42" s="81">
        <f t="shared" si="78"/>
        <v>758829</v>
      </c>
      <c r="P42" s="81">
        <f t="shared" si="78"/>
        <v>889098</v>
      </c>
      <c r="Q42" s="81">
        <f t="shared" si="78"/>
        <v>880143</v>
      </c>
      <c r="R42" s="81">
        <f t="shared" si="78"/>
        <v>881311</v>
      </c>
      <c r="S42" s="81">
        <f t="shared" ref="S42" si="79">+S38+S20+S29+S31-S36</f>
        <v>938326</v>
      </c>
      <c r="T42" s="81">
        <f t="shared" si="78"/>
        <v>884211</v>
      </c>
      <c r="U42" s="81">
        <f t="shared" ref="U42" si="80">+U38+U20+U29+U31-U36</f>
        <v>861990</v>
      </c>
      <c r="W42" s="81">
        <f t="shared" ref="W42:AC42" si="81">+W38+W20+W29+W31-W36</f>
        <v>783944</v>
      </c>
      <c r="X42" s="81">
        <f t="shared" si="81"/>
        <v>783943</v>
      </c>
      <c r="Y42" s="81">
        <f t="shared" si="81"/>
        <v>875559</v>
      </c>
      <c r="Z42" s="81">
        <f t="shared" si="81"/>
        <v>875558</v>
      </c>
      <c r="AA42" s="81">
        <f t="shared" si="81"/>
        <v>1193364</v>
      </c>
      <c r="AB42" s="81">
        <f t="shared" ref="AB42" si="82">+AB38+AB20+AB29+AB31-AB36</f>
        <v>1193364</v>
      </c>
      <c r="AC42" s="81">
        <f t="shared" si="81"/>
        <v>972221</v>
      </c>
      <c r="AD42" s="81">
        <f t="shared" ref="AD42" si="83">+AD38+AD20+AD29+AD31-AD36</f>
        <v>972223</v>
      </c>
      <c r="AE42" s="202"/>
      <c r="AF42" s="81">
        <f t="shared" ref="AF42:AK42" si="84">+AF38+AF20+AF29+AF31-AF36</f>
        <v>941213</v>
      </c>
      <c r="AG42" s="81">
        <f t="shared" si="84"/>
        <v>938619</v>
      </c>
      <c r="AH42" s="81">
        <f t="shared" si="84"/>
        <v>891224</v>
      </c>
      <c r="AI42" s="81">
        <f t="shared" si="84"/>
        <v>886520</v>
      </c>
      <c r="AJ42" s="81">
        <f t="shared" si="84"/>
        <v>1022496</v>
      </c>
      <c r="AK42" s="81">
        <f t="shared" si="84"/>
        <v>1018676</v>
      </c>
      <c r="AN42" s="81">
        <f t="shared" ref="AN42:AO42" si="85">+AN38+AN20+AN29+AN31-AN36</f>
        <v>1111072</v>
      </c>
      <c r="AO42" s="81">
        <f t="shared" si="85"/>
        <v>1102852</v>
      </c>
      <c r="AQ42" s="81">
        <f t="shared" ref="AQ42:AV42" si="86">+AQ38+AQ20+AQ29+AQ31-AQ36</f>
        <v>998294</v>
      </c>
      <c r="AR42" s="81">
        <f t="shared" si="86"/>
        <v>991882</v>
      </c>
      <c r="AS42" s="81">
        <f t="shared" si="86"/>
        <v>1052952</v>
      </c>
      <c r="AT42" s="81">
        <f t="shared" si="86"/>
        <v>1044898</v>
      </c>
      <c r="AU42" s="81">
        <f t="shared" si="86"/>
        <v>1412539</v>
      </c>
      <c r="AV42" s="81">
        <f t="shared" si="86"/>
        <v>1338210</v>
      </c>
      <c r="AX42" s="81">
        <v>818768</v>
      </c>
      <c r="AY42" s="81">
        <v>890140</v>
      </c>
      <c r="AZ42" s="81">
        <v>856872</v>
      </c>
      <c r="BA42" s="81">
        <f t="shared" ref="BA42" si="87">+BA38+BA20+BA29+BA31-BA36</f>
        <v>789035</v>
      </c>
      <c r="BC42" s="81">
        <f t="shared" ref="BC42:BF42" si="88">+BC38+BC20+BC29+BC31-BC36</f>
        <v>951549</v>
      </c>
      <c r="BD42" s="81">
        <f t="shared" si="88"/>
        <v>1302520</v>
      </c>
      <c r="BE42" s="81">
        <f t="shared" si="88"/>
        <v>1158829</v>
      </c>
      <c r="BF42" s="81">
        <f t="shared" si="88"/>
        <v>923207</v>
      </c>
      <c r="BH42" s="81">
        <f t="shared" ref="BH42:BI42" si="89">+BH38+BH20+BH29+BH31-BH36</f>
        <v>1215809</v>
      </c>
      <c r="BI42" s="81">
        <f t="shared" si="89"/>
        <v>1391136</v>
      </c>
      <c r="BJ42" s="81">
        <v>1269176</v>
      </c>
      <c r="BK42" s="81">
        <f t="shared" ref="BK42" si="90">+BK38+BK20+BK29+BK31-BK36</f>
        <v>1344056</v>
      </c>
      <c r="BL42" s="9"/>
      <c r="BM42" s="81">
        <v>1557840</v>
      </c>
      <c r="BN42" s="81">
        <v>1553262</v>
      </c>
      <c r="BO42" s="81">
        <f t="shared" ref="BO42" si="91">+BO38+BO20+BO29+BO31-BO36</f>
        <v>1282752</v>
      </c>
      <c r="BP42" s="81">
        <v>1109371</v>
      </c>
    </row>
    <row r="43" spans="2:68" s="2" customFormat="1" ht="16.5" hidden="1" customHeight="1">
      <c r="B43" s="82" t="s">
        <v>48</v>
      </c>
      <c r="C43" s="83">
        <v>377.6</v>
      </c>
      <c r="D43" s="83">
        <v>399.12</v>
      </c>
      <c r="E43" s="83">
        <v>233.72</v>
      </c>
      <c r="F43" s="83">
        <v>105.58</v>
      </c>
      <c r="G43" s="75"/>
      <c r="H43" s="83">
        <v>260.04000000000002</v>
      </c>
      <c r="I43" s="83">
        <v>304.83</v>
      </c>
      <c r="J43" s="83">
        <v>232</v>
      </c>
      <c r="K43" s="83">
        <v>174.11</v>
      </c>
      <c r="L43" s="83" t="e">
        <f>+#REF!-J43-I43-H43</f>
        <v>#REF!</v>
      </c>
      <c r="N43" s="83">
        <v>260.04000000000002</v>
      </c>
      <c r="O43" s="83">
        <v>260.04000000000002</v>
      </c>
      <c r="P43" s="83">
        <v>260.04000000000002</v>
      </c>
      <c r="Q43" s="83">
        <v>260.04000000000002</v>
      </c>
      <c r="R43" s="83">
        <v>260.04000000000002</v>
      </c>
      <c r="S43" s="83">
        <v>260.04000000000002</v>
      </c>
      <c r="T43" s="83"/>
      <c r="U43" s="83"/>
      <c r="W43" s="83">
        <v>260.04000000000002</v>
      </c>
      <c r="X43" s="83">
        <v>260.04000000000002</v>
      </c>
      <c r="Y43" s="83">
        <v>260.04000000000002</v>
      </c>
      <c r="Z43" s="83">
        <v>260.04000000000002</v>
      </c>
      <c r="AA43" s="83">
        <v>260.04000000000002</v>
      </c>
      <c r="AB43" s="83">
        <v>260.04000000000002</v>
      </c>
      <c r="AC43" s="83">
        <v>260.04000000000002</v>
      </c>
      <c r="AD43" s="83">
        <v>260.04000000000002</v>
      </c>
      <c r="AE43" s="203"/>
      <c r="AF43" s="83">
        <v>260.04000000000002</v>
      </c>
      <c r="AG43" s="83">
        <v>260.04000000000002</v>
      </c>
      <c r="AH43" s="83">
        <v>260.04000000000002</v>
      </c>
      <c r="AI43" s="83">
        <v>260.04000000000002</v>
      </c>
      <c r="AJ43" s="83">
        <v>260.04000000000002</v>
      </c>
      <c r="AK43" s="83">
        <v>260.04000000000002</v>
      </c>
      <c r="AN43" s="83">
        <v>260.04000000000002</v>
      </c>
      <c r="AO43" s="83">
        <v>260.04000000000002</v>
      </c>
      <c r="AQ43" s="83">
        <v>260.04000000000002</v>
      </c>
      <c r="AR43" s="83">
        <v>260.04000000000002</v>
      </c>
      <c r="AS43" s="83">
        <v>260.04000000000002</v>
      </c>
      <c r="AT43" s="83">
        <v>260.04000000000002</v>
      </c>
      <c r="AU43" s="83">
        <v>260.04000000000002</v>
      </c>
      <c r="AV43" s="83">
        <v>260.04000000000002</v>
      </c>
      <c r="AX43" s="83">
        <v>260.04000000000002</v>
      </c>
      <c r="AY43" s="83">
        <v>260.04000000000002</v>
      </c>
      <c r="AZ43" s="83">
        <v>260.04000000000002</v>
      </c>
      <c r="BA43" s="83">
        <v>260.04000000000002</v>
      </c>
      <c r="BC43" s="83">
        <v>260.04000000000002</v>
      </c>
      <c r="BD43" s="83">
        <v>260.04000000000002</v>
      </c>
      <c r="BE43" s="83">
        <v>260.04000000000002</v>
      </c>
      <c r="BF43" s="83">
        <v>260.04000000000002</v>
      </c>
      <c r="BH43" s="83">
        <v>260.04000000000002</v>
      </c>
      <c r="BI43" s="83">
        <v>260.04000000000002</v>
      </c>
      <c r="BJ43" s="83">
        <v>260.04000000000002</v>
      </c>
      <c r="BK43" s="83">
        <v>260.04000000000002</v>
      </c>
      <c r="BL43" s="9"/>
      <c r="BM43" s="83">
        <v>260.04000000000002</v>
      </c>
      <c r="BN43" s="83">
        <v>260.04000000000002</v>
      </c>
      <c r="BP43" s="83">
        <v>260.04000000000002</v>
      </c>
    </row>
    <row r="44" spans="2:68" s="2" customFormat="1" ht="16.5" customHeight="1">
      <c r="B44" s="84" t="s">
        <v>6</v>
      </c>
      <c r="C44" s="85">
        <f>+C42/C$10</f>
        <v>0.35034096237092605</v>
      </c>
      <c r="D44" s="85">
        <f>+D42/D$10</f>
        <v>0.29085126764117125</v>
      </c>
      <c r="E44" s="85">
        <f>+E42/E$10</f>
        <v>0.20523379859169552</v>
      </c>
      <c r="F44" s="85">
        <f>+F42/F$10</f>
        <v>0.10004330781784813</v>
      </c>
      <c r="G44" s="86"/>
      <c r="H44" s="85">
        <f>+H42/H$10</f>
        <v>0.17419463582956771</v>
      </c>
      <c r="I44" s="85">
        <f t="shared" ref="I44:L44" si="92">+I42/I$10</f>
        <v>0.26872163687409006</v>
      </c>
      <c r="J44" s="85">
        <f t="shared" si="92"/>
        <v>0.21167255169124805</v>
      </c>
      <c r="K44" s="85">
        <f t="shared" si="92"/>
        <v>0.13464090788810582</v>
      </c>
      <c r="L44" s="85">
        <f t="shared" si="92"/>
        <v>0.12916853013007726</v>
      </c>
      <c r="N44" s="85">
        <f t="shared" ref="N44:T44" si="93">+N42/N$10</f>
        <v>0.18837375401644868</v>
      </c>
      <c r="O44" s="85">
        <f t="shared" si="93"/>
        <v>0.18770699730991622</v>
      </c>
      <c r="P44" s="85">
        <f t="shared" si="93"/>
        <v>0.26183517687387353</v>
      </c>
      <c r="Q44" s="85">
        <f t="shared" si="93"/>
        <v>0.26006048969707285</v>
      </c>
      <c r="R44" s="85">
        <f t="shared" si="93"/>
        <v>0.26212058348092859</v>
      </c>
      <c r="S44" s="85">
        <f t="shared" ref="S44" si="94">+S42/S$10</f>
        <v>0.2758223956405807</v>
      </c>
      <c r="T44" s="85">
        <f t="shared" si="93"/>
        <v>0.23649112727996327</v>
      </c>
      <c r="U44" s="85">
        <f t="shared" ref="U44" si="95">+U42/U$10</f>
        <v>0.23147133696387717</v>
      </c>
      <c r="W44" s="85">
        <f t="shared" ref="W44:AC44" si="96">+W42/W$10</f>
        <v>0.23351167671573345</v>
      </c>
      <c r="X44" s="85">
        <f t="shared" si="96"/>
        <v>0.23351137884793075</v>
      </c>
      <c r="Y44" s="85">
        <f t="shared" si="96"/>
        <v>0.24558943523285107</v>
      </c>
      <c r="Z44" s="85">
        <f t="shared" si="96"/>
        <v>0.24558915473840667</v>
      </c>
      <c r="AA44" s="85">
        <f t="shared" si="96"/>
        <v>0.29349524672888277</v>
      </c>
      <c r="AB44" s="85">
        <f t="shared" ref="AB44" si="97">+AB42/AB$10</f>
        <v>0.29349531891095049</v>
      </c>
      <c r="AC44" s="85">
        <f t="shared" si="96"/>
        <v>0.27117554374096459</v>
      </c>
      <c r="AD44" s="85">
        <f t="shared" ref="AD44" si="98">+AD42/AD$10</f>
        <v>0.27117595031366354</v>
      </c>
      <c r="AE44" s="79"/>
      <c r="AF44" s="85">
        <f t="shared" ref="AF44:AK44" si="99">+AF42/AF$10</f>
        <v>0.28430748281401313</v>
      </c>
      <c r="AG44" s="85">
        <f t="shared" si="99"/>
        <v>0.28374625750313187</v>
      </c>
      <c r="AH44" s="85">
        <f t="shared" si="99"/>
        <v>0.24639117969870974</v>
      </c>
      <c r="AI44" s="85">
        <f t="shared" si="99"/>
        <v>0.24540984595862148</v>
      </c>
      <c r="AJ44" s="85">
        <f t="shared" si="99"/>
        <v>0.28104122815359728</v>
      </c>
      <c r="AK44" s="85">
        <f t="shared" si="99"/>
        <v>0.28028555847394715</v>
      </c>
      <c r="AN44" s="85">
        <f t="shared" ref="AN44:AO44" si="100">+AN42/AN$10</f>
        <v>0.29643487459696405</v>
      </c>
      <c r="AO44" s="85">
        <f t="shared" si="100"/>
        <v>0.29488849285875673</v>
      </c>
      <c r="AQ44" s="85">
        <f t="shared" ref="AQ44:AV44" si="101">+AQ42/AQ$10</f>
        <v>0.26826370026087543</v>
      </c>
      <c r="AR44" s="85">
        <f t="shared" si="101"/>
        <v>0.26700070849744706</v>
      </c>
      <c r="AS44" s="85">
        <f t="shared" si="101"/>
        <v>0.27274549897605688</v>
      </c>
      <c r="AT44" s="85">
        <f t="shared" si="101"/>
        <v>0.26688281602393138</v>
      </c>
      <c r="AU44" s="85">
        <f t="shared" si="101"/>
        <v>0.2702034379640556</v>
      </c>
      <c r="AV44" s="85">
        <f t="shared" si="101"/>
        <v>0.33957791354251571</v>
      </c>
      <c r="AX44" s="85">
        <v>0.22644285523850718</v>
      </c>
      <c r="AY44" s="85">
        <v>0.26604626863039699</v>
      </c>
      <c r="AZ44" s="85">
        <v>0.2481397597520896</v>
      </c>
      <c r="BA44" s="85">
        <f t="shared" ref="BA44" si="102">+BA42/BA$10</f>
        <v>0.22066285972533306</v>
      </c>
      <c r="BC44" s="85">
        <f t="shared" ref="BC44:BF44" si="103">+BC42/BC$10</f>
        <v>0.25490099956764156</v>
      </c>
      <c r="BD44" s="85">
        <f t="shared" si="103"/>
        <v>0.32347693750397355</v>
      </c>
      <c r="BE44" s="85">
        <f t="shared" si="103"/>
        <v>0.28158253784855231</v>
      </c>
      <c r="BF44" s="85">
        <f t="shared" si="103"/>
        <v>0.20820777137733176</v>
      </c>
      <c r="BH44" s="85">
        <f t="shared" ref="BH44:BI44" si="104">+BH42/BH$10</f>
        <v>0.26352106884984244</v>
      </c>
      <c r="BI44" s="85">
        <f t="shared" si="104"/>
        <v>0.23586215806509533</v>
      </c>
      <c r="BJ44" s="85">
        <v>0.2494397718915447</v>
      </c>
      <c r="BK44" s="85">
        <f t="shared" ref="BK44" si="105">+BK42/BK$10</f>
        <v>0.2341640934080676</v>
      </c>
      <c r="BL44" s="9"/>
      <c r="BM44" s="85">
        <v>0.27116906934721091</v>
      </c>
      <c r="BN44" s="85">
        <v>0.24298592311645323</v>
      </c>
      <c r="BO44" s="315">
        <f t="shared" ref="BO44" si="106">+BO42/BO$10</f>
        <v>0.26479402040195782</v>
      </c>
      <c r="BP44" s="85">
        <v>0.19769724977296477</v>
      </c>
    </row>
    <row r="45" spans="2:68" ht="4.5" customHeight="1">
      <c r="C45" s="19"/>
      <c r="D45" s="44"/>
      <c r="E45" s="44"/>
      <c r="F45" s="44"/>
      <c r="G45" s="19"/>
      <c r="H45" s="44"/>
      <c r="I45" s="44"/>
      <c r="J45" s="44"/>
      <c r="K45" s="44"/>
      <c r="L45" s="44"/>
      <c r="N45" s="44"/>
      <c r="O45" s="44"/>
      <c r="P45" s="44"/>
      <c r="Q45" s="44"/>
      <c r="R45" s="44"/>
      <c r="S45" s="44"/>
      <c r="T45" s="44"/>
      <c r="U45" s="44"/>
      <c r="W45" s="44"/>
      <c r="X45" s="44"/>
      <c r="Y45" s="44"/>
      <c r="Z45" s="44"/>
      <c r="AA45" s="44"/>
      <c r="AB45" s="44"/>
      <c r="AC45" s="44"/>
      <c r="AD45" s="44"/>
      <c r="AE45" s="44"/>
      <c r="AF45" s="44"/>
      <c r="AG45" s="44"/>
      <c r="AH45" s="44"/>
      <c r="AI45" s="44"/>
      <c r="AJ45" s="44"/>
      <c r="AK45" s="44"/>
      <c r="AN45" s="44"/>
      <c r="AO45" s="44"/>
      <c r="AQ45" s="44"/>
      <c r="AR45" s="44"/>
      <c r="AS45" s="44"/>
      <c r="AT45" s="44"/>
      <c r="AU45" s="44"/>
      <c r="AV45" s="44"/>
      <c r="AX45" s="44"/>
      <c r="AY45" s="44"/>
      <c r="AZ45" s="44"/>
      <c r="BA45" s="44"/>
      <c r="BC45" s="44"/>
      <c r="BD45" s="44"/>
      <c r="BE45" s="44"/>
      <c r="BF45" s="44"/>
      <c r="BH45" s="44"/>
      <c r="BI45" s="44"/>
      <c r="BJ45" s="44"/>
      <c r="BK45" s="44"/>
      <c r="BL45" s="9"/>
      <c r="BM45" s="44"/>
      <c r="BN45" s="44"/>
      <c r="BO45" s="44"/>
      <c r="BP45" s="44"/>
    </row>
    <row r="46" spans="2:68" ht="16.5" customHeight="1">
      <c r="B46" s="2" t="s">
        <v>156</v>
      </c>
      <c r="C46" s="58">
        <f>SUM(C47:C49)</f>
        <v>-274858</v>
      </c>
      <c r="D46" s="59">
        <f>SUM(D47:D49)</f>
        <v>110083.87971088001</v>
      </c>
      <c r="E46" s="59">
        <f>SUM(E47:E49)</f>
        <v>-91925</v>
      </c>
      <c r="F46" s="59">
        <f>SUM(F47:F49)</f>
        <v>-104873</v>
      </c>
      <c r="G46" s="19"/>
      <c r="H46" s="59">
        <f>SUM(H47:H49)</f>
        <v>-157390</v>
      </c>
      <c r="I46" s="59">
        <f t="shared" ref="I46:L46" si="107">SUM(I47:I49)</f>
        <v>-150581</v>
      </c>
      <c r="J46" s="59">
        <f t="shared" si="107"/>
        <v>-194136</v>
      </c>
      <c r="K46" s="59">
        <f t="shared" si="107"/>
        <v>-211928</v>
      </c>
      <c r="L46" s="59">
        <f t="shared" si="107"/>
        <v>-213297</v>
      </c>
      <c r="N46" s="59">
        <f t="shared" ref="N46:T46" si="108">SUM(N47:N49)</f>
        <v>-203291</v>
      </c>
      <c r="O46" s="59">
        <f t="shared" si="108"/>
        <v>-203290</v>
      </c>
      <c r="P46" s="59">
        <f t="shared" si="108"/>
        <v>-268582</v>
      </c>
      <c r="Q46" s="59">
        <f t="shared" si="108"/>
        <v>-268582</v>
      </c>
      <c r="R46" s="59">
        <f t="shared" si="108"/>
        <v>-243502</v>
      </c>
      <c r="S46" s="59">
        <f t="shared" ref="S46" si="109">SUM(S47:S49)</f>
        <v>-243502</v>
      </c>
      <c r="T46" s="59">
        <f t="shared" si="108"/>
        <v>-256227</v>
      </c>
      <c r="U46" s="59">
        <f t="shared" ref="U46" si="110">SUM(U47:U49)</f>
        <v>-256228</v>
      </c>
      <c r="W46" s="59">
        <f t="shared" ref="W46:AC46" si="111">SUM(W47:W49)</f>
        <v>-271918</v>
      </c>
      <c r="X46" s="59">
        <f t="shared" si="111"/>
        <v>-271918</v>
      </c>
      <c r="Y46" s="59">
        <f t="shared" si="111"/>
        <v>-253126</v>
      </c>
      <c r="Z46" s="59">
        <f t="shared" si="111"/>
        <v>-253126</v>
      </c>
      <c r="AA46" s="59">
        <f t="shared" si="111"/>
        <v>-277134</v>
      </c>
      <c r="AB46" s="59">
        <f t="shared" si="111"/>
        <v>-277133</v>
      </c>
      <c r="AC46" s="59">
        <f t="shared" si="111"/>
        <v>-276908</v>
      </c>
      <c r="AD46" s="59">
        <f t="shared" ref="AD46" si="112">SUM(AD47:AD49)</f>
        <v>-276908</v>
      </c>
      <c r="AE46" s="59"/>
      <c r="AF46" s="59">
        <f t="shared" ref="AF46:AK46" si="113">SUM(AF47:AF49)</f>
        <v>-268932</v>
      </c>
      <c r="AG46" s="59">
        <f t="shared" si="113"/>
        <v>-266338</v>
      </c>
      <c r="AH46" s="59">
        <f t="shared" si="113"/>
        <v>-242510</v>
      </c>
      <c r="AI46" s="59">
        <f t="shared" si="113"/>
        <v>-237807</v>
      </c>
      <c r="AJ46" s="59">
        <f t="shared" si="113"/>
        <v>-286113</v>
      </c>
      <c r="AK46" s="59">
        <f t="shared" si="113"/>
        <v>-282292</v>
      </c>
      <c r="AN46" s="59">
        <f t="shared" ref="AN46:AO46" si="114">SUM(AN47:AN49)</f>
        <v>-284469</v>
      </c>
      <c r="AO46" s="59">
        <f t="shared" si="114"/>
        <v>-276249</v>
      </c>
      <c r="AQ46" s="59">
        <f t="shared" ref="AQ46:AV46" si="115">SUM(AQ47:AQ49)</f>
        <v>-300140</v>
      </c>
      <c r="AR46" s="59">
        <f t="shared" si="115"/>
        <v>-293728</v>
      </c>
      <c r="AS46" s="59">
        <f t="shared" si="115"/>
        <v>-309171</v>
      </c>
      <c r="AT46" s="59">
        <f t="shared" si="115"/>
        <v>-301117</v>
      </c>
      <c r="AU46" s="59">
        <f t="shared" si="115"/>
        <v>-339835</v>
      </c>
      <c r="AV46" s="59">
        <f t="shared" si="115"/>
        <v>-278361</v>
      </c>
      <c r="AX46" s="59">
        <v>-282338</v>
      </c>
      <c r="AY46" s="255">
        <v>-352017</v>
      </c>
      <c r="AZ46" s="255">
        <v>-280422</v>
      </c>
      <c r="BA46" s="255">
        <f t="shared" ref="BA46" si="116">SUM(BA47:BA49)</f>
        <v>-317308</v>
      </c>
      <c r="BC46" s="255">
        <f t="shared" ref="BC46:BF46" si="117">SUM(BC47:BC49)</f>
        <v>-242377</v>
      </c>
      <c r="BD46" s="255">
        <f t="shared" si="117"/>
        <v>-284409</v>
      </c>
      <c r="BE46" s="255">
        <f t="shared" si="117"/>
        <v>-255519</v>
      </c>
      <c r="BF46" s="255">
        <f t="shared" si="117"/>
        <v>-178529</v>
      </c>
      <c r="BH46" s="255">
        <f t="shared" ref="BH46" si="118">SUM(BH47:BH49)</f>
        <v>-296131</v>
      </c>
      <c r="BI46" s="255">
        <f t="shared" ref="BI46" si="119">SUM(BI47:BI49)</f>
        <v>-342836</v>
      </c>
      <c r="BJ46" s="255">
        <v>-326635</v>
      </c>
      <c r="BK46" s="255">
        <f t="shared" ref="BK46" si="120">SUM(BK47:BK49)</f>
        <v>-373386</v>
      </c>
      <c r="BL46" s="9"/>
      <c r="BM46" s="255">
        <v>-468201</v>
      </c>
      <c r="BN46" s="255">
        <v>-563578</v>
      </c>
      <c r="BO46" s="255">
        <f t="shared" ref="BO46" si="121">SUM(BO47:BO49)</f>
        <v>-467293</v>
      </c>
      <c r="BP46" s="255">
        <v>-416472</v>
      </c>
    </row>
    <row r="47" spans="2:68" ht="16.5" customHeight="1">
      <c r="B47" s="53" t="s">
        <v>15</v>
      </c>
      <c r="C47" s="62">
        <v>-271498</v>
      </c>
      <c r="D47" s="29">
        <f>91817</f>
        <v>91817</v>
      </c>
      <c r="E47" s="29">
        <v>-86348</v>
      </c>
      <c r="F47" s="29">
        <v>-137095</v>
      </c>
      <c r="G47" s="19"/>
      <c r="H47" s="29">
        <f>-161839</f>
        <v>-161839</v>
      </c>
      <c r="I47" s="29">
        <f>-143935+2</f>
        <v>-143933</v>
      </c>
      <c r="J47" s="29">
        <v>-172868</v>
      </c>
      <c r="K47" s="29">
        <f>-201914</f>
        <v>-201914</v>
      </c>
      <c r="L47" s="29">
        <v>-202390</v>
      </c>
      <c r="N47" s="29">
        <v>-213835</v>
      </c>
      <c r="O47" s="29">
        <v>-213834</v>
      </c>
      <c r="P47" s="29">
        <f>-264231</f>
        <v>-264231</v>
      </c>
      <c r="Q47" s="29">
        <f>-264232</f>
        <v>-264232</v>
      </c>
      <c r="R47" s="29">
        <v>-256109</v>
      </c>
      <c r="S47" s="29">
        <v>-256109</v>
      </c>
      <c r="T47" s="29">
        <f>-277702+1</f>
        <v>-277701</v>
      </c>
      <c r="U47" s="29">
        <v>-277702</v>
      </c>
      <c r="W47" s="29">
        <v>-262567</v>
      </c>
      <c r="X47" s="29">
        <v>-262567</v>
      </c>
      <c r="Y47" s="29">
        <v>-277709</v>
      </c>
      <c r="Z47" s="29">
        <v>-277709</v>
      </c>
      <c r="AA47" s="29">
        <f>-274299</f>
        <v>-274299</v>
      </c>
      <c r="AB47" s="29">
        <f>-274299</f>
        <v>-274299</v>
      </c>
      <c r="AC47" s="29">
        <v>-287705</v>
      </c>
      <c r="AD47" s="29">
        <v>-287705</v>
      </c>
      <c r="AE47" s="29"/>
      <c r="AF47" s="29">
        <v>-270568</v>
      </c>
      <c r="AG47" s="29">
        <v>-270568</v>
      </c>
      <c r="AH47" s="29">
        <v>-268875</v>
      </c>
      <c r="AI47" s="29">
        <v>-268875</v>
      </c>
      <c r="AJ47" s="29">
        <f>-276287+1</f>
        <v>-276286</v>
      </c>
      <c r="AK47" s="29">
        <f>-276287+1</f>
        <v>-276286</v>
      </c>
      <c r="AN47" s="29">
        <v>-291890</v>
      </c>
      <c r="AO47" s="29">
        <v>-291890</v>
      </c>
      <c r="AQ47" s="29">
        <v>-297421</v>
      </c>
      <c r="AR47" s="29">
        <v>-297421</v>
      </c>
      <c r="AS47" s="29">
        <v>-331832</v>
      </c>
      <c r="AT47" s="29">
        <v>-331832</v>
      </c>
      <c r="AU47" s="29">
        <f>-325321+1</f>
        <v>-325320</v>
      </c>
      <c r="AV47" s="29">
        <f>-319735-1</f>
        <v>-319736</v>
      </c>
      <c r="AX47" s="29">
        <v>-299549</v>
      </c>
      <c r="AY47" s="153">
        <v>-344902</v>
      </c>
      <c r="AZ47" s="153">
        <v>-265637</v>
      </c>
      <c r="BA47" s="153">
        <f>-328343-2</f>
        <v>-328345</v>
      </c>
      <c r="BC47" s="153">
        <v>-217003</v>
      </c>
      <c r="BD47" s="153">
        <v>-274276</v>
      </c>
      <c r="BE47" s="153">
        <f>-256699+1</f>
        <v>-256698</v>
      </c>
      <c r="BF47" s="153">
        <f>-240671-1</f>
        <v>-240672</v>
      </c>
      <c r="BH47" s="153">
        <v>-276686</v>
      </c>
      <c r="BI47" s="153">
        <f>-346002+1</f>
        <v>-346001</v>
      </c>
      <c r="BJ47" s="153">
        <v>-369258</v>
      </c>
      <c r="BK47" s="153">
        <v>-449396</v>
      </c>
      <c r="BL47" s="9"/>
      <c r="BM47" s="153">
        <v>-439101</v>
      </c>
      <c r="BN47" s="153">
        <v>-492122</v>
      </c>
      <c r="BO47" s="153">
        <f>-454072-1</f>
        <v>-454073</v>
      </c>
      <c r="BP47" s="153">
        <v>-389697</v>
      </c>
    </row>
    <row r="48" spans="2:68" ht="16.5" customHeight="1">
      <c r="B48" s="53" t="s">
        <v>18</v>
      </c>
      <c r="C48" s="62">
        <v>-3360</v>
      </c>
      <c r="D48" s="29">
        <v>18266.879710880003</v>
      </c>
      <c r="E48" s="29">
        <v>-5577</v>
      </c>
      <c r="F48" s="29">
        <v>32222</v>
      </c>
      <c r="G48" s="19"/>
      <c r="H48" s="29">
        <v>4449</v>
      </c>
      <c r="I48" s="29">
        <v>-6648</v>
      </c>
      <c r="J48" s="29">
        <v>-21268</v>
      </c>
      <c r="K48" s="29">
        <f>-10013-1</f>
        <v>-10014</v>
      </c>
      <c r="L48" s="29">
        <v>-10907</v>
      </c>
      <c r="N48" s="29">
        <v>10544</v>
      </c>
      <c r="O48" s="29">
        <v>10544</v>
      </c>
      <c r="P48" s="29">
        <v>-4351</v>
      </c>
      <c r="Q48" s="29">
        <f>-4350</f>
        <v>-4350</v>
      </c>
      <c r="R48" s="29">
        <v>12607</v>
      </c>
      <c r="S48" s="29">
        <v>12607</v>
      </c>
      <c r="T48" s="29">
        <v>21474</v>
      </c>
      <c r="U48" s="29">
        <v>21474</v>
      </c>
      <c r="W48" s="29">
        <v>-9351</v>
      </c>
      <c r="X48" s="29">
        <v>-9351</v>
      </c>
      <c r="Y48" s="29">
        <v>24583</v>
      </c>
      <c r="Z48" s="29">
        <v>24583</v>
      </c>
      <c r="AA48" s="29">
        <f>-2834-1</f>
        <v>-2835</v>
      </c>
      <c r="AB48" s="29">
        <f>-2834</f>
        <v>-2834</v>
      </c>
      <c r="AC48" s="29">
        <v>10797</v>
      </c>
      <c r="AD48" s="29">
        <v>10797</v>
      </c>
      <c r="AE48" s="29"/>
      <c r="AF48" s="29">
        <v>1636</v>
      </c>
      <c r="AG48" s="29">
        <v>4230</v>
      </c>
      <c r="AH48" s="29">
        <v>26365</v>
      </c>
      <c r="AI48" s="29">
        <v>31068</v>
      </c>
      <c r="AJ48" s="29">
        <v>-9827</v>
      </c>
      <c r="AK48" s="29">
        <v>-6006</v>
      </c>
      <c r="AN48" s="29">
        <v>7421</v>
      </c>
      <c r="AO48" s="29">
        <f>15640+1</f>
        <v>15641</v>
      </c>
      <c r="AQ48" s="29">
        <v>-2719</v>
      </c>
      <c r="AR48" s="29">
        <f>3694-1</f>
        <v>3693</v>
      </c>
      <c r="AS48" s="29">
        <v>22661</v>
      </c>
      <c r="AT48" s="29">
        <f>30715</f>
        <v>30715</v>
      </c>
      <c r="AU48" s="29">
        <v>-14515</v>
      </c>
      <c r="AV48" s="29">
        <v>41375</v>
      </c>
      <c r="AX48" s="29">
        <v>17211</v>
      </c>
      <c r="AY48" s="153">
        <v>-7115</v>
      </c>
      <c r="AZ48" s="153">
        <v>-14785</v>
      </c>
      <c r="BA48" s="153">
        <f>11036+1</f>
        <v>11037</v>
      </c>
      <c r="BC48" s="153">
        <v>-25374</v>
      </c>
      <c r="BD48" s="153">
        <v>-10133</v>
      </c>
      <c r="BE48" s="153">
        <v>1179</v>
      </c>
      <c r="BF48" s="153">
        <v>62143</v>
      </c>
      <c r="BH48" s="153">
        <v>-19445</v>
      </c>
      <c r="BI48" s="153">
        <f>3166-1</f>
        <v>3165</v>
      </c>
      <c r="BJ48" s="153">
        <v>42623</v>
      </c>
      <c r="BK48" s="153">
        <v>76010</v>
      </c>
      <c r="BL48" s="9"/>
      <c r="BM48" s="153">
        <v>-29100</v>
      </c>
      <c r="BN48" s="153">
        <v>-71456</v>
      </c>
      <c r="BO48" s="153">
        <v>-13220</v>
      </c>
      <c r="BP48" s="153">
        <v>-26775</v>
      </c>
    </row>
    <row r="49" spans="2:68" ht="16.5" customHeight="1">
      <c r="B49" s="53"/>
      <c r="C49" s="62"/>
      <c r="D49" s="62"/>
      <c r="E49" s="62"/>
      <c r="F49" s="62"/>
      <c r="G49" s="19"/>
      <c r="H49" s="62"/>
      <c r="I49" s="29"/>
      <c r="J49" s="149"/>
      <c r="K49" s="29"/>
      <c r="L49" s="29"/>
      <c r="N49" s="62"/>
      <c r="O49" s="62"/>
      <c r="P49" s="62"/>
      <c r="Q49" s="62"/>
      <c r="R49" s="62"/>
      <c r="S49" s="62"/>
      <c r="T49" s="62"/>
      <c r="U49" s="62"/>
      <c r="W49" s="62"/>
      <c r="X49" s="62"/>
      <c r="Y49" s="62"/>
      <c r="Z49" s="62"/>
      <c r="AA49" s="62"/>
      <c r="AB49" s="62"/>
      <c r="AC49" s="62"/>
      <c r="AD49" s="62"/>
      <c r="AE49" s="62"/>
      <c r="AF49" s="62"/>
      <c r="AG49" s="62"/>
      <c r="AH49" s="62"/>
      <c r="AI49" s="62"/>
      <c r="AJ49" s="62"/>
      <c r="AK49" s="62"/>
      <c r="AN49" s="62"/>
      <c r="AO49" s="62"/>
      <c r="AQ49" s="62"/>
      <c r="AR49" s="62"/>
      <c r="AS49" s="62"/>
      <c r="AT49" s="62"/>
      <c r="AU49" s="62"/>
      <c r="AV49" s="62"/>
      <c r="AX49" s="62"/>
      <c r="AY49" s="130"/>
      <c r="AZ49" s="130"/>
      <c r="BA49" s="130"/>
      <c r="BC49" s="130"/>
      <c r="BD49" s="130"/>
      <c r="BE49" s="130"/>
      <c r="BF49" s="130"/>
      <c r="BH49" s="130"/>
      <c r="BI49" s="130"/>
      <c r="BJ49" s="130"/>
      <c r="BK49" s="130"/>
      <c r="BL49" s="9"/>
      <c r="BM49" s="130"/>
      <c r="BN49" s="130"/>
      <c r="BO49" s="130"/>
      <c r="BP49" s="130"/>
    </row>
    <row r="50" spans="2:68" ht="4.5" customHeight="1">
      <c r="C50" s="19"/>
      <c r="D50" s="44"/>
      <c r="E50" s="44"/>
      <c r="F50" s="44"/>
      <c r="G50" s="19"/>
      <c r="H50" s="44"/>
      <c r="I50" s="44"/>
      <c r="J50" s="44"/>
      <c r="K50" s="44"/>
      <c r="L50" s="44"/>
      <c r="N50" s="44"/>
      <c r="O50" s="44"/>
      <c r="P50" s="44"/>
      <c r="Q50" s="44"/>
      <c r="R50" s="44"/>
      <c r="S50" s="44"/>
      <c r="T50" s="44"/>
      <c r="U50" s="44"/>
      <c r="W50" s="44"/>
      <c r="X50" s="44"/>
      <c r="Y50" s="44"/>
      <c r="Z50" s="44"/>
      <c r="AA50" s="44"/>
      <c r="AB50" s="44"/>
      <c r="AC50" s="44"/>
      <c r="AD50" s="44"/>
      <c r="AE50" s="44"/>
      <c r="AF50" s="44"/>
      <c r="AG50" s="44"/>
      <c r="AH50" s="44"/>
      <c r="AI50" s="44"/>
      <c r="AJ50" s="44"/>
      <c r="AK50" s="44"/>
      <c r="AN50" s="44"/>
      <c r="AO50" s="44"/>
      <c r="AQ50" s="44"/>
      <c r="AR50" s="44"/>
      <c r="AS50" s="44"/>
      <c r="AT50" s="44"/>
      <c r="AU50" s="44"/>
      <c r="AV50" s="44"/>
      <c r="AX50" s="44"/>
      <c r="AY50" s="44"/>
      <c r="AZ50" s="44"/>
      <c r="BA50" s="44"/>
      <c r="BC50" s="44"/>
      <c r="BD50" s="44"/>
      <c r="BE50" s="44"/>
      <c r="BF50" s="44"/>
      <c r="BH50" s="44"/>
      <c r="BI50" s="44"/>
      <c r="BJ50" s="44"/>
      <c r="BK50" s="44"/>
      <c r="BL50" s="9"/>
      <c r="BM50" s="44"/>
      <c r="BN50" s="44"/>
      <c r="BO50" s="44"/>
      <c r="BP50" s="44"/>
    </row>
    <row r="51" spans="2:68" ht="16.5" customHeight="1">
      <c r="B51" s="2" t="s">
        <v>7</v>
      </c>
      <c r="C51" s="48">
        <f>+C38+C46</f>
        <v>382606</v>
      </c>
      <c r="D51" s="63">
        <f>+D38+D46</f>
        <v>682565.79061002983</v>
      </c>
      <c r="E51" s="63">
        <f>+E38+E46</f>
        <v>230223</v>
      </c>
      <c r="F51" s="63">
        <f>+F38+F46</f>
        <v>6204</v>
      </c>
      <c r="G51" s="19"/>
      <c r="H51" s="63">
        <f>+H38+H46</f>
        <v>186365</v>
      </c>
      <c r="I51" s="63">
        <f t="shared" ref="I51:L51" si="122">+I38+I46</f>
        <v>411932</v>
      </c>
      <c r="J51" s="63">
        <f t="shared" si="122"/>
        <v>260325</v>
      </c>
      <c r="K51" s="63">
        <f t="shared" si="122"/>
        <v>58354</v>
      </c>
      <c r="L51" s="63">
        <f t="shared" si="122"/>
        <v>51207</v>
      </c>
      <c r="N51" s="63">
        <f t="shared" ref="N51:T51" si="123">+N38+N46</f>
        <v>399847</v>
      </c>
      <c r="O51" s="63">
        <f t="shared" si="123"/>
        <v>396019</v>
      </c>
      <c r="P51" s="63">
        <f t="shared" si="123"/>
        <v>374179</v>
      </c>
      <c r="Q51" s="63">
        <f t="shared" si="123"/>
        <v>381667</v>
      </c>
      <c r="R51" s="63">
        <f t="shared" si="123"/>
        <v>378816</v>
      </c>
      <c r="S51" s="63">
        <f t="shared" ref="S51" si="124">+S38+S46</f>
        <v>420642</v>
      </c>
      <c r="T51" s="63">
        <f t="shared" si="123"/>
        <v>311594</v>
      </c>
      <c r="U51" s="63">
        <f t="shared" ref="U51" si="125">+U38+U46</f>
        <v>286707</v>
      </c>
      <c r="W51" s="63">
        <f t="shared" ref="W51:AC51" si="126">+W38+W46</f>
        <v>223396</v>
      </c>
      <c r="X51" s="63">
        <f t="shared" si="126"/>
        <v>223395</v>
      </c>
      <c r="Y51" s="63">
        <f t="shared" si="126"/>
        <v>303826</v>
      </c>
      <c r="Z51" s="63">
        <f t="shared" si="126"/>
        <v>303825</v>
      </c>
      <c r="AA51" s="63">
        <f t="shared" si="126"/>
        <v>551467</v>
      </c>
      <c r="AB51" s="63">
        <f t="shared" ref="AB51" si="127">+AB38+AB46</f>
        <v>551469</v>
      </c>
      <c r="AC51" s="63">
        <f t="shared" si="126"/>
        <v>362757</v>
      </c>
      <c r="AD51" s="63">
        <f t="shared" ref="AD51" si="128">+AD38+AD46</f>
        <v>362759</v>
      </c>
      <c r="AE51" s="63"/>
      <c r="AF51" s="63">
        <f t="shared" ref="AF51:AK51" si="129">+AF38+AF46</f>
        <v>338205</v>
      </c>
      <c r="AG51" s="63">
        <f t="shared" si="129"/>
        <v>338204</v>
      </c>
      <c r="AH51" s="63">
        <f t="shared" si="129"/>
        <v>302952</v>
      </c>
      <c r="AI51" s="63">
        <f t="shared" si="129"/>
        <v>302952</v>
      </c>
      <c r="AJ51" s="63">
        <f t="shared" si="129"/>
        <v>391199</v>
      </c>
      <c r="AK51" s="63">
        <f t="shared" si="129"/>
        <v>391200</v>
      </c>
      <c r="AN51" s="63">
        <f t="shared" ref="AN51:AO51" si="130">+AN38+AN46</f>
        <v>504669</v>
      </c>
      <c r="AO51" s="63">
        <f t="shared" si="130"/>
        <v>504669</v>
      </c>
      <c r="AQ51" s="63">
        <f t="shared" ref="AQ51:AV51" si="131">+AQ38+AQ46</f>
        <v>309364</v>
      </c>
      <c r="AR51" s="63">
        <f t="shared" si="131"/>
        <v>309364</v>
      </c>
      <c r="AS51" s="63">
        <f t="shared" si="131"/>
        <v>301170</v>
      </c>
      <c r="AT51" s="63">
        <f t="shared" si="131"/>
        <v>301170</v>
      </c>
      <c r="AU51" s="63">
        <f t="shared" si="131"/>
        <v>639500</v>
      </c>
      <c r="AV51" s="63">
        <f t="shared" si="131"/>
        <v>613399</v>
      </c>
      <c r="AX51" s="63">
        <v>114291</v>
      </c>
      <c r="AY51" s="63">
        <v>96955</v>
      </c>
      <c r="AZ51" s="63">
        <v>146090</v>
      </c>
      <c r="BA51" s="63">
        <f t="shared" ref="BA51" si="132">+BA38+BA46</f>
        <v>48706</v>
      </c>
      <c r="BC51" s="63">
        <f t="shared" ref="BC51:BF51" si="133">+BC38+BC46</f>
        <v>282181</v>
      </c>
      <c r="BD51" s="63">
        <f t="shared" si="133"/>
        <v>588831</v>
      </c>
      <c r="BE51" s="63">
        <f t="shared" si="133"/>
        <v>474267</v>
      </c>
      <c r="BF51" s="63">
        <f t="shared" si="133"/>
        <v>311341</v>
      </c>
      <c r="BH51" s="63">
        <f t="shared" ref="BH51:BI51" si="134">+BH38+BH46</f>
        <v>498447</v>
      </c>
      <c r="BI51" s="63">
        <f t="shared" si="134"/>
        <v>638931</v>
      </c>
      <c r="BJ51" s="63">
        <v>515079</v>
      </c>
      <c r="BK51" s="63">
        <f t="shared" ref="BK51" si="135">+BK38+BK46</f>
        <v>601820</v>
      </c>
      <c r="BL51" s="9"/>
      <c r="BM51" s="63">
        <v>733865</v>
      </c>
      <c r="BN51" s="63">
        <v>648680</v>
      </c>
      <c r="BO51" s="63">
        <f t="shared" ref="BO51" si="136">+BO38+BO46</f>
        <v>495640</v>
      </c>
      <c r="BP51" s="63">
        <v>352508</v>
      </c>
    </row>
    <row r="52" spans="2:68" s="135" customFormat="1" ht="5.25" hidden="1" customHeight="1">
      <c r="B52" s="1"/>
      <c r="C52" s="19"/>
      <c r="D52" s="141"/>
      <c r="E52" s="141"/>
      <c r="F52" s="141"/>
      <c r="G52" s="19"/>
      <c r="H52" s="141"/>
      <c r="I52" s="141"/>
      <c r="J52" s="141"/>
      <c r="K52" s="141"/>
      <c r="L52" s="141" t="e">
        <f>+#REF!-J52-I52-H52</f>
        <v>#REF!</v>
      </c>
      <c r="N52" s="141"/>
      <c r="O52" s="141"/>
      <c r="P52" s="141"/>
      <c r="Q52" s="141"/>
      <c r="R52" s="141"/>
      <c r="S52" s="141"/>
      <c r="T52" s="141"/>
      <c r="U52" s="141"/>
      <c r="W52" s="141"/>
      <c r="X52" s="141"/>
      <c r="Y52" s="141"/>
      <c r="Z52" s="141"/>
      <c r="AA52" s="141"/>
      <c r="AB52" s="141"/>
      <c r="AC52" s="141"/>
      <c r="AD52" s="141"/>
      <c r="AE52" s="141"/>
      <c r="AF52" s="141"/>
      <c r="AG52" s="141"/>
      <c r="AH52" s="141"/>
      <c r="AI52" s="141"/>
      <c r="AJ52" s="141"/>
      <c r="AK52" s="141"/>
      <c r="AN52" s="141"/>
      <c r="AO52" s="141"/>
      <c r="AQ52" s="141"/>
      <c r="AR52" s="141"/>
      <c r="AS52" s="141"/>
      <c r="AT52" s="141"/>
      <c r="AU52" s="141"/>
      <c r="AV52" s="141"/>
      <c r="AX52" s="141"/>
      <c r="AY52" s="141"/>
      <c r="AZ52" s="141"/>
      <c r="BA52" s="141"/>
      <c r="BC52" s="141"/>
      <c r="BD52" s="141"/>
      <c r="BE52" s="141"/>
      <c r="BF52" s="141"/>
      <c r="BH52" s="141"/>
      <c r="BI52" s="141"/>
      <c r="BJ52" s="141"/>
      <c r="BK52" s="141"/>
      <c r="BL52" s="9"/>
      <c r="BM52" s="141"/>
      <c r="BN52" s="141"/>
      <c r="BO52" s="141"/>
      <c r="BP52" s="141"/>
    </row>
    <row r="53" spans="2:68" s="135" customFormat="1" ht="5.25" customHeight="1">
      <c r="B53" s="1"/>
      <c r="C53" s="19"/>
      <c r="D53" s="141"/>
      <c r="E53" s="141"/>
      <c r="F53" s="141"/>
      <c r="G53" s="19"/>
      <c r="H53" s="141"/>
      <c r="I53" s="141"/>
      <c r="J53" s="141"/>
      <c r="K53" s="141"/>
      <c r="L53" s="141"/>
      <c r="N53" s="141"/>
      <c r="O53" s="141"/>
      <c r="P53" s="141"/>
      <c r="Q53" s="141"/>
      <c r="R53" s="141"/>
      <c r="S53" s="141"/>
      <c r="T53" s="141"/>
      <c r="U53" s="141"/>
      <c r="W53" s="141"/>
      <c r="X53" s="141"/>
      <c r="Y53" s="141"/>
      <c r="Z53" s="141"/>
      <c r="AA53" s="141"/>
      <c r="AB53" s="141"/>
      <c r="AC53" s="141"/>
      <c r="AD53" s="141"/>
      <c r="AE53" s="141"/>
      <c r="AF53" s="141"/>
      <c r="AG53" s="141"/>
      <c r="AH53" s="141"/>
      <c r="AI53" s="141"/>
      <c r="AJ53" s="141"/>
      <c r="AK53" s="141"/>
      <c r="AN53" s="141"/>
      <c r="AO53" s="141"/>
      <c r="AQ53" s="141"/>
      <c r="AR53" s="141"/>
      <c r="AS53" s="141"/>
      <c r="AT53" s="141"/>
      <c r="AU53" s="141"/>
      <c r="AV53" s="141"/>
      <c r="AX53" s="141"/>
      <c r="AY53" s="141"/>
      <c r="AZ53" s="141"/>
      <c r="BA53" s="141"/>
      <c r="BC53" s="141"/>
      <c r="BD53" s="141"/>
      <c r="BE53" s="141"/>
      <c r="BF53" s="141"/>
      <c r="BH53" s="141"/>
      <c r="BI53" s="141"/>
      <c r="BJ53" s="141"/>
      <c r="BK53" s="141"/>
      <c r="BL53" s="9"/>
      <c r="BM53" s="141"/>
      <c r="BN53" s="141"/>
      <c r="BO53" s="141"/>
      <c r="BP53" s="141"/>
    </row>
    <row r="54" spans="2:68" ht="15.75" customHeight="1">
      <c r="B54" s="128" t="s">
        <v>147</v>
      </c>
      <c r="C54" s="62">
        <v>88640</v>
      </c>
      <c r="D54" s="29">
        <v>114703</v>
      </c>
      <c r="E54" s="29">
        <v>47094</v>
      </c>
      <c r="F54" s="29">
        <v>121109</v>
      </c>
      <c r="G54" s="19"/>
      <c r="H54" s="29">
        <v>94599</v>
      </c>
      <c r="I54" s="29">
        <v>53882</v>
      </c>
      <c r="J54" s="29">
        <v>75127</v>
      </c>
      <c r="K54" s="29">
        <v>36898</v>
      </c>
      <c r="L54" s="29">
        <v>24587</v>
      </c>
      <c r="N54" s="29">
        <v>171898</v>
      </c>
      <c r="O54" s="29">
        <f>168106-1+12377</f>
        <v>180482</v>
      </c>
      <c r="P54" s="29">
        <v>13142</v>
      </c>
      <c r="Q54" s="29">
        <f>10409-1+2546</f>
        <v>12954</v>
      </c>
      <c r="R54" s="29">
        <v>88218</v>
      </c>
      <c r="S54" s="29">
        <f>107394-18569+3646</f>
        <v>92471</v>
      </c>
      <c r="T54" s="29">
        <v>59176</v>
      </c>
      <c r="U54" s="29">
        <f>67124+2</f>
        <v>67126</v>
      </c>
      <c r="V54" s="29"/>
      <c r="W54" s="29">
        <f>69785+8804</f>
        <v>78589</v>
      </c>
      <c r="X54" s="29">
        <v>78588</v>
      </c>
      <c r="Y54" s="29">
        <f>85468+2910</f>
        <v>88378</v>
      </c>
      <c r="Z54" s="29">
        <f>85468+2910+1</f>
        <v>88379</v>
      </c>
      <c r="AA54" s="29">
        <f>111567-15302+3588</f>
        <v>99853</v>
      </c>
      <c r="AB54" s="29">
        <f>111567-15302+3588</f>
        <v>99853</v>
      </c>
      <c r="AC54" s="29">
        <f>268044+1</f>
        <v>268045</v>
      </c>
      <c r="AD54" s="29">
        <f>268044+1</f>
        <v>268045</v>
      </c>
      <c r="AE54" s="29"/>
      <c r="AF54" s="29">
        <v>117143</v>
      </c>
      <c r="AG54" s="29">
        <v>117143</v>
      </c>
      <c r="AH54" s="29">
        <f>70202-1</f>
        <v>70201</v>
      </c>
      <c r="AI54" s="29">
        <f>70202-1</f>
        <v>70201</v>
      </c>
      <c r="AJ54" s="29">
        <v>-18841</v>
      </c>
      <c r="AK54" s="29">
        <v>-18841</v>
      </c>
      <c r="AN54" s="29">
        <v>174404</v>
      </c>
      <c r="AO54" s="29">
        <v>174404</v>
      </c>
      <c r="AQ54" s="29">
        <v>86082</v>
      </c>
      <c r="AR54" s="29">
        <v>86082</v>
      </c>
      <c r="AS54" s="29">
        <v>81685</v>
      </c>
      <c r="AT54" s="29">
        <v>81685</v>
      </c>
      <c r="AU54" s="29">
        <v>122933</v>
      </c>
      <c r="AV54" s="29">
        <v>316595</v>
      </c>
      <c r="AX54" s="29">
        <v>87916</v>
      </c>
      <c r="AY54" s="153">
        <v>35121</v>
      </c>
      <c r="AZ54" s="153">
        <v>68259</v>
      </c>
      <c r="BA54" s="153">
        <v>60801</v>
      </c>
      <c r="BC54" s="153">
        <v>91593</v>
      </c>
      <c r="BD54" s="153">
        <v>196413</v>
      </c>
      <c r="BE54" s="153">
        <v>99600</v>
      </c>
      <c r="BF54" s="153">
        <v>62981</v>
      </c>
      <c r="BH54" s="153">
        <v>183520</v>
      </c>
      <c r="BI54" s="153">
        <v>227812</v>
      </c>
      <c r="BJ54" s="153">
        <v>188949</v>
      </c>
      <c r="BK54" s="153">
        <f>213654+1</f>
        <v>213655</v>
      </c>
      <c r="BL54" s="9"/>
      <c r="BM54" s="153">
        <v>163715</v>
      </c>
      <c r="BN54" s="153">
        <v>190328</v>
      </c>
      <c r="BO54" s="153">
        <f>128273-1</f>
        <v>128272</v>
      </c>
      <c r="BP54" s="153">
        <v>288380</v>
      </c>
    </row>
    <row r="55" spans="2:68" ht="8.25" customHeight="1">
      <c r="C55" s="19"/>
      <c r="D55" s="44"/>
      <c r="E55" s="44"/>
      <c r="F55" s="44"/>
      <c r="G55" s="19"/>
      <c r="H55" s="44"/>
      <c r="I55" s="44"/>
      <c r="J55" s="44"/>
      <c r="K55" s="44"/>
      <c r="L55" s="44"/>
      <c r="N55" s="44"/>
      <c r="O55" s="44"/>
      <c r="P55" s="44"/>
      <c r="Q55" s="44"/>
      <c r="R55" s="44"/>
      <c r="S55" s="44"/>
      <c r="T55" s="44"/>
      <c r="U55" s="44"/>
      <c r="W55" s="44"/>
      <c r="X55" s="44"/>
      <c r="Y55" s="44"/>
      <c r="Z55" s="44"/>
      <c r="AA55" s="44"/>
      <c r="AB55" s="44"/>
      <c r="AC55" s="44"/>
      <c r="AD55" s="44"/>
      <c r="AE55" s="44"/>
      <c r="AF55" s="44"/>
      <c r="AG55" s="44"/>
      <c r="AH55" s="44"/>
      <c r="AI55" s="44"/>
      <c r="AJ55" s="44"/>
      <c r="AK55" s="44"/>
      <c r="AN55" s="44"/>
      <c r="AO55" s="44"/>
      <c r="AQ55" s="44"/>
      <c r="AR55" s="44"/>
      <c r="AS55" s="44"/>
      <c r="AT55" s="44"/>
      <c r="AU55" s="44"/>
      <c r="AV55" s="44"/>
      <c r="AX55" s="44"/>
      <c r="AY55" s="44"/>
      <c r="AZ55" s="44"/>
      <c r="BA55" s="44"/>
      <c r="BC55" s="44"/>
      <c r="BD55" s="44"/>
      <c r="BE55" s="44"/>
      <c r="BF55" s="44"/>
      <c r="BH55" s="44"/>
      <c r="BI55" s="44"/>
      <c r="BJ55" s="44"/>
      <c r="BK55" s="44"/>
      <c r="BL55" s="9"/>
      <c r="BM55" s="44"/>
      <c r="BN55" s="44"/>
      <c r="BO55" s="44"/>
      <c r="BP55" s="44"/>
    </row>
    <row r="56" spans="2:68" s="2" customFormat="1" ht="13">
      <c r="B56" s="2" t="s">
        <v>84</v>
      </c>
      <c r="C56" s="58">
        <f>+C51-C54</f>
        <v>293966</v>
      </c>
      <c r="D56" s="58">
        <f>+D51-D54</f>
        <v>567862.79061002983</v>
      </c>
      <c r="E56" s="58">
        <f>+E51-E54</f>
        <v>183129</v>
      </c>
      <c r="F56" s="58">
        <f>+F51-F54</f>
        <v>-114905</v>
      </c>
      <c r="G56" s="19"/>
      <c r="H56" s="58">
        <f>+H51-H54</f>
        <v>91766</v>
      </c>
      <c r="I56" s="58">
        <f t="shared" ref="I56:L56" si="137">+I51-I54</f>
        <v>358050</v>
      </c>
      <c r="J56" s="58">
        <f t="shared" si="137"/>
        <v>185198</v>
      </c>
      <c r="K56" s="58">
        <f t="shared" si="137"/>
        <v>21456</v>
      </c>
      <c r="L56" s="58">
        <f t="shared" si="137"/>
        <v>26620</v>
      </c>
      <c r="N56" s="58">
        <f t="shared" ref="N56:T56" si="138">+N51-N54</f>
        <v>227949</v>
      </c>
      <c r="O56" s="58">
        <f t="shared" si="138"/>
        <v>215537</v>
      </c>
      <c r="P56" s="58">
        <f t="shared" si="138"/>
        <v>361037</v>
      </c>
      <c r="Q56" s="58">
        <f t="shared" si="138"/>
        <v>368713</v>
      </c>
      <c r="R56" s="58">
        <f t="shared" si="138"/>
        <v>290598</v>
      </c>
      <c r="S56" s="58">
        <f t="shared" ref="S56" si="139">+S51-S54</f>
        <v>328171</v>
      </c>
      <c r="T56" s="58">
        <f t="shared" si="138"/>
        <v>252418</v>
      </c>
      <c r="U56" s="58">
        <f t="shared" ref="U56" si="140">+U51-U54</f>
        <v>219581</v>
      </c>
      <c r="W56" s="58">
        <f t="shared" ref="W56:AC56" si="141">+W51-W54</f>
        <v>144807</v>
      </c>
      <c r="X56" s="58">
        <f t="shared" si="141"/>
        <v>144807</v>
      </c>
      <c r="Y56" s="58">
        <f t="shared" si="141"/>
        <v>215448</v>
      </c>
      <c r="Z56" s="58">
        <f t="shared" si="141"/>
        <v>215446</v>
      </c>
      <c r="AA56" s="58">
        <f t="shared" si="141"/>
        <v>451614</v>
      </c>
      <c r="AB56" s="58">
        <f t="shared" ref="AB56" si="142">+AB51-AB54</f>
        <v>451616</v>
      </c>
      <c r="AC56" s="58">
        <f t="shared" si="141"/>
        <v>94712</v>
      </c>
      <c r="AD56" s="58">
        <f t="shared" ref="AD56" si="143">+AD51-AD54</f>
        <v>94714</v>
      </c>
      <c r="AE56" s="58"/>
      <c r="AF56" s="58">
        <f t="shared" ref="AF56:AK56" si="144">+AF51-AF54</f>
        <v>221062</v>
      </c>
      <c r="AG56" s="58">
        <f t="shared" si="144"/>
        <v>221061</v>
      </c>
      <c r="AH56" s="58">
        <f t="shared" si="144"/>
        <v>232751</v>
      </c>
      <c r="AI56" s="58">
        <f t="shared" si="144"/>
        <v>232751</v>
      </c>
      <c r="AJ56" s="58">
        <f t="shared" si="144"/>
        <v>410040</v>
      </c>
      <c r="AK56" s="58">
        <f t="shared" si="144"/>
        <v>410041</v>
      </c>
      <c r="AN56" s="58">
        <f t="shared" ref="AN56:AO56" si="145">+AN51-AN54</f>
        <v>330265</v>
      </c>
      <c r="AO56" s="58">
        <f t="shared" si="145"/>
        <v>330265</v>
      </c>
      <c r="AQ56" s="58">
        <f t="shared" ref="AQ56:AV56" si="146">+AQ51-AQ54</f>
        <v>223282</v>
      </c>
      <c r="AR56" s="58">
        <f t="shared" si="146"/>
        <v>223282</v>
      </c>
      <c r="AS56" s="58">
        <f t="shared" si="146"/>
        <v>219485</v>
      </c>
      <c r="AT56" s="58">
        <f t="shared" si="146"/>
        <v>219485</v>
      </c>
      <c r="AU56" s="58">
        <f t="shared" si="146"/>
        <v>516567</v>
      </c>
      <c r="AV56" s="58">
        <f t="shared" si="146"/>
        <v>296804</v>
      </c>
      <c r="AX56" s="58">
        <v>26375</v>
      </c>
      <c r="AY56" s="256">
        <v>61834</v>
      </c>
      <c r="AZ56" s="256">
        <v>77831</v>
      </c>
      <c r="BA56" s="256">
        <f t="shared" ref="BA56" si="147">+BA51-BA54</f>
        <v>-12095</v>
      </c>
      <c r="BC56" s="256">
        <f t="shared" ref="BC56:BF56" si="148">+BC51-BC54</f>
        <v>190588</v>
      </c>
      <c r="BD56" s="256">
        <f t="shared" si="148"/>
        <v>392418</v>
      </c>
      <c r="BE56" s="256">
        <f t="shared" si="148"/>
        <v>374667</v>
      </c>
      <c r="BF56" s="256">
        <f t="shared" si="148"/>
        <v>248360</v>
      </c>
      <c r="BH56" s="256">
        <f t="shared" ref="BH56:BI56" si="149">+BH51-BH54</f>
        <v>314927</v>
      </c>
      <c r="BI56" s="256">
        <f t="shared" si="149"/>
        <v>411119</v>
      </c>
      <c r="BJ56" s="256">
        <v>326130</v>
      </c>
      <c r="BK56" s="256">
        <f t="shared" ref="BK56" si="150">+BK51-BK54</f>
        <v>388165</v>
      </c>
      <c r="BL56" s="9"/>
      <c r="BM56" s="256">
        <v>570150</v>
      </c>
      <c r="BN56" s="256">
        <v>458352</v>
      </c>
      <c r="BO56" s="256">
        <f t="shared" ref="BO56" si="151">+BO51-BO54</f>
        <v>367368</v>
      </c>
      <c r="BP56" s="256">
        <v>64128</v>
      </c>
    </row>
    <row r="57" spans="2:68" s="2" customFormat="1" ht="16.5" customHeight="1">
      <c r="B57" s="129" t="s">
        <v>148</v>
      </c>
      <c r="C57" s="62">
        <v>-869</v>
      </c>
      <c r="D57" s="29">
        <f>330+1</f>
        <v>331</v>
      </c>
      <c r="E57" s="29">
        <f>-5125+1</f>
        <v>-5124</v>
      </c>
      <c r="F57" s="29">
        <f>6047-1</f>
        <v>6046</v>
      </c>
      <c r="G57" s="19"/>
      <c r="H57" s="29"/>
      <c r="I57" s="29">
        <v>-3566</v>
      </c>
      <c r="J57" s="149">
        <v>3566</v>
      </c>
      <c r="K57" s="29">
        <v>-13315</v>
      </c>
      <c r="L57" s="29">
        <v>-13315</v>
      </c>
      <c r="N57" s="29">
        <v>0</v>
      </c>
      <c r="O57" s="29">
        <v>0</v>
      </c>
      <c r="P57" s="29">
        <v>0</v>
      </c>
      <c r="Q57" s="29">
        <v>0</v>
      </c>
      <c r="R57" s="29">
        <v>0</v>
      </c>
      <c r="S57" s="29">
        <v>0</v>
      </c>
      <c r="T57" s="29">
        <v>0</v>
      </c>
      <c r="U57" s="29">
        <v>0</v>
      </c>
      <c r="W57" s="29">
        <v>0</v>
      </c>
      <c r="X57" s="29">
        <v>0</v>
      </c>
      <c r="Y57" s="29">
        <v>0</v>
      </c>
      <c r="Z57" s="29">
        <v>0</v>
      </c>
      <c r="AA57" s="29">
        <v>0</v>
      </c>
      <c r="AB57" s="29">
        <v>0</v>
      </c>
      <c r="AC57" s="29">
        <v>0</v>
      </c>
      <c r="AD57" s="29">
        <v>0</v>
      </c>
      <c r="AE57" s="29"/>
      <c r="AF57" s="29">
        <v>0</v>
      </c>
      <c r="AG57" s="29">
        <v>0</v>
      </c>
      <c r="AH57" s="29">
        <v>0</v>
      </c>
      <c r="AI57" s="29">
        <v>0</v>
      </c>
      <c r="AJ57" s="29">
        <v>0</v>
      </c>
      <c r="AK57" s="29">
        <v>0</v>
      </c>
      <c r="AN57" s="29">
        <v>0</v>
      </c>
      <c r="AO57" s="29">
        <v>0</v>
      </c>
      <c r="AQ57" s="29">
        <v>0</v>
      </c>
      <c r="AR57" s="29">
        <v>0</v>
      </c>
      <c r="AS57" s="29">
        <v>0</v>
      </c>
      <c r="AT57" s="29">
        <v>0</v>
      </c>
      <c r="AU57" s="29">
        <v>0</v>
      </c>
      <c r="AV57" s="29">
        <v>0</v>
      </c>
      <c r="AX57" s="29">
        <v>0</v>
      </c>
      <c r="AY57" s="153">
        <v>0</v>
      </c>
      <c r="AZ57" s="153">
        <v>0</v>
      </c>
      <c r="BA57" s="153">
        <v>0</v>
      </c>
      <c r="BC57" s="153">
        <v>0</v>
      </c>
      <c r="BD57" s="153">
        <v>0</v>
      </c>
      <c r="BE57" s="153">
        <v>0</v>
      </c>
      <c r="BF57" s="153">
        <v>0</v>
      </c>
      <c r="BH57" s="153">
        <v>0</v>
      </c>
      <c r="BI57" s="153">
        <v>0</v>
      </c>
      <c r="BJ57" s="153">
        <v>0</v>
      </c>
      <c r="BK57" s="153">
        <v>0</v>
      </c>
      <c r="BL57" s="9"/>
      <c r="BM57" s="153">
        <v>0</v>
      </c>
      <c r="BN57" s="153">
        <v>0</v>
      </c>
      <c r="BO57" s="153">
        <v>0</v>
      </c>
      <c r="BP57" s="153">
        <v>0</v>
      </c>
    </row>
    <row r="58" spans="2:68" s="2" customFormat="1" ht="16.5" customHeight="1">
      <c r="B58" s="2" t="s">
        <v>79</v>
      </c>
      <c r="C58" s="58">
        <f>+C56+C57</f>
        <v>293097</v>
      </c>
      <c r="D58" s="58">
        <f>+D56+D57</f>
        <v>568193.79061002983</v>
      </c>
      <c r="E58" s="58">
        <f>+E56+E57</f>
        <v>178005</v>
      </c>
      <c r="F58" s="58">
        <f>+F56+F57</f>
        <v>-108859</v>
      </c>
      <c r="G58" s="19"/>
      <c r="H58" s="58">
        <f>+H56+H57</f>
        <v>91766</v>
      </c>
      <c r="I58" s="58">
        <f t="shared" ref="I58:L58" si="152">+I56+I57</f>
        <v>354484</v>
      </c>
      <c r="J58" s="58">
        <f t="shared" si="152"/>
        <v>188764</v>
      </c>
      <c r="K58" s="58">
        <f t="shared" si="152"/>
        <v>8141</v>
      </c>
      <c r="L58" s="58">
        <f t="shared" si="152"/>
        <v>13305</v>
      </c>
      <c r="N58" s="58">
        <f t="shared" ref="N58:T58" si="153">+N56+N57</f>
        <v>227949</v>
      </c>
      <c r="O58" s="58">
        <f t="shared" si="153"/>
        <v>215537</v>
      </c>
      <c r="P58" s="58">
        <f t="shared" si="153"/>
        <v>361037</v>
      </c>
      <c r="Q58" s="58">
        <f t="shared" si="153"/>
        <v>368713</v>
      </c>
      <c r="R58" s="58">
        <f t="shared" si="153"/>
        <v>290598</v>
      </c>
      <c r="S58" s="58">
        <f t="shared" ref="S58" si="154">+S56+S57</f>
        <v>328171</v>
      </c>
      <c r="T58" s="58">
        <f t="shared" si="153"/>
        <v>252418</v>
      </c>
      <c r="U58" s="58">
        <f t="shared" ref="U58" si="155">+U56+U57</f>
        <v>219581</v>
      </c>
      <c r="W58" s="58">
        <f t="shared" ref="W58:AC58" si="156">+W56+W57</f>
        <v>144807</v>
      </c>
      <c r="X58" s="58">
        <f t="shared" si="156"/>
        <v>144807</v>
      </c>
      <c r="Y58" s="58">
        <f t="shared" si="156"/>
        <v>215448</v>
      </c>
      <c r="Z58" s="58">
        <f t="shared" si="156"/>
        <v>215446</v>
      </c>
      <c r="AA58" s="58">
        <f t="shared" si="156"/>
        <v>451614</v>
      </c>
      <c r="AB58" s="58">
        <f t="shared" si="156"/>
        <v>451616</v>
      </c>
      <c r="AC58" s="58">
        <f t="shared" si="156"/>
        <v>94712</v>
      </c>
      <c r="AD58" s="58">
        <f t="shared" ref="AD58" si="157">+AD56+AD57</f>
        <v>94714</v>
      </c>
      <c r="AE58" s="58"/>
      <c r="AF58" s="58">
        <f t="shared" ref="AF58:AK58" si="158">+AF56+AF57</f>
        <v>221062</v>
      </c>
      <c r="AG58" s="58">
        <f t="shared" si="158"/>
        <v>221061</v>
      </c>
      <c r="AH58" s="58">
        <f t="shared" si="158"/>
        <v>232751</v>
      </c>
      <c r="AI58" s="58">
        <f t="shared" si="158"/>
        <v>232751</v>
      </c>
      <c r="AJ58" s="58">
        <f t="shared" si="158"/>
        <v>410040</v>
      </c>
      <c r="AK58" s="58">
        <f t="shared" si="158"/>
        <v>410041</v>
      </c>
      <c r="AN58" s="58">
        <f t="shared" ref="AN58:AO58" si="159">+AN56+AN57</f>
        <v>330265</v>
      </c>
      <c r="AO58" s="58">
        <f t="shared" si="159"/>
        <v>330265</v>
      </c>
      <c r="AQ58" s="58">
        <f t="shared" ref="AQ58:AV58" si="160">+AQ56+AQ57</f>
        <v>223282</v>
      </c>
      <c r="AR58" s="58">
        <f t="shared" si="160"/>
        <v>223282</v>
      </c>
      <c r="AS58" s="58">
        <f t="shared" si="160"/>
        <v>219485</v>
      </c>
      <c r="AT58" s="58">
        <f t="shared" si="160"/>
        <v>219485</v>
      </c>
      <c r="AU58" s="58">
        <f t="shared" si="160"/>
        <v>516567</v>
      </c>
      <c r="AV58" s="58">
        <f t="shared" si="160"/>
        <v>296804</v>
      </c>
      <c r="AX58" s="58">
        <v>26375</v>
      </c>
      <c r="AY58" s="256">
        <v>61834</v>
      </c>
      <c r="AZ58" s="256">
        <v>77831</v>
      </c>
      <c r="BA58" s="256">
        <f t="shared" ref="BA58" si="161">+BA56+BA57</f>
        <v>-12095</v>
      </c>
      <c r="BC58" s="256">
        <f t="shared" ref="BC58:BF58" si="162">+BC56+BC57</f>
        <v>190588</v>
      </c>
      <c r="BD58" s="256">
        <f t="shared" si="162"/>
        <v>392418</v>
      </c>
      <c r="BE58" s="256">
        <f t="shared" si="162"/>
        <v>374667</v>
      </c>
      <c r="BF58" s="256">
        <f t="shared" si="162"/>
        <v>248360</v>
      </c>
      <c r="BH58" s="256">
        <f t="shared" ref="BH58:BI58" si="163">+BH56+BH57</f>
        <v>314927</v>
      </c>
      <c r="BI58" s="256">
        <f t="shared" si="163"/>
        <v>411119</v>
      </c>
      <c r="BJ58" s="256">
        <v>326130</v>
      </c>
      <c r="BK58" s="256">
        <f t="shared" ref="BK58" si="164">+BK56+BK57</f>
        <v>388165</v>
      </c>
      <c r="BL58" s="9"/>
      <c r="BM58" s="256">
        <v>570150</v>
      </c>
      <c r="BN58" s="256">
        <v>458352</v>
      </c>
      <c r="BO58" s="256">
        <f t="shared" ref="BO58" si="165">+BO56+BO57</f>
        <v>367368</v>
      </c>
      <c r="BP58" s="256">
        <v>64128</v>
      </c>
    </row>
    <row r="59" spans="2:68" s="2" customFormat="1" ht="16.5" hidden="1" customHeight="1">
      <c r="B59" s="60" t="s">
        <v>48</v>
      </c>
      <c r="C59" s="61">
        <v>145.26</v>
      </c>
      <c r="D59" s="61">
        <v>302.36</v>
      </c>
      <c r="E59" s="61">
        <v>90.97</v>
      </c>
      <c r="F59" s="61">
        <v>-44.45</v>
      </c>
      <c r="G59" s="19"/>
      <c r="H59" s="61">
        <v>32.159999999999997</v>
      </c>
      <c r="I59" s="61">
        <v>140.63999999999999</v>
      </c>
      <c r="J59" s="61">
        <v>63.76</v>
      </c>
      <c r="K59" s="61">
        <v>5.73</v>
      </c>
      <c r="L59" s="61" t="e">
        <f>+#REF!-J59-I59-H59</f>
        <v>#REF!</v>
      </c>
      <c r="N59" s="61">
        <v>32.159999999999997</v>
      </c>
      <c r="O59" s="61">
        <v>32.159999999999997</v>
      </c>
      <c r="P59" s="61">
        <v>32.159999999999997</v>
      </c>
      <c r="Q59" s="61">
        <v>32.159999999999997</v>
      </c>
      <c r="R59" s="61">
        <v>32.159999999999997</v>
      </c>
      <c r="S59" s="61">
        <v>32.159999999999997</v>
      </c>
      <c r="T59" s="61"/>
      <c r="U59" s="61"/>
      <c r="W59" s="61">
        <v>32.159999999999997</v>
      </c>
      <c r="X59" s="61">
        <v>32.159999999999997</v>
      </c>
      <c r="Y59" s="61">
        <v>32.159999999999997</v>
      </c>
      <c r="Z59" s="61">
        <v>32.159999999999997</v>
      </c>
      <c r="AA59" s="61">
        <v>32.159999999999997</v>
      </c>
      <c r="AB59" s="61">
        <v>32.159999999999997</v>
      </c>
      <c r="AC59" s="61">
        <v>32.159999999999997</v>
      </c>
      <c r="AD59" s="61">
        <v>32.159999999999997</v>
      </c>
      <c r="AE59" s="61"/>
      <c r="AF59" s="61">
        <v>32.159999999999997</v>
      </c>
      <c r="AG59" s="61">
        <v>32.159999999999997</v>
      </c>
      <c r="AH59" s="61">
        <v>32.159999999999997</v>
      </c>
      <c r="AI59" s="61">
        <v>32.159999999999997</v>
      </c>
      <c r="AJ59" s="61">
        <v>32.159999999999997</v>
      </c>
      <c r="AK59" s="61">
        <v>32.159999999999997</v>
      </c>
      <c r="AN59" s="61">
        <v>32.159999999999997</v>
      </c>
      <c r="AO59" s="61">
        <v>32.159999999999997</v>
      </c>
      <c r="AQ59" s="61">
        <v>32.159999999999997</v>
      </c>
      <c r="AR59" s="61">
        <v>32.159999999999997</v>
      </c>
      <c r="AS59" s="61">
        <v>32.159999999999997</v>
      </c>
      <c r="AT59" s="61">
        <v>32.159999999999997</v>
      </c>
      <c r="AU59" s="61">
        <v>32.159999999999997</v>
      </c>
      <c r="AV59" s="61">
        <v>32.159999999999997</v>
      </c>
      <c r="AX59" s="61">
        <v>32.159999999999997</v>
      </c>
      <c r="AY59" s="258">
        <v>32.159999999999997</v>
      </c>
      <c r="AZ59" s="258">
        <v>32.159999999999997</v>
      </c>
      <c r="BA59" s="258">
        <v>32.159999999999997</v>
      </c>
      <c r="BC59" s="258">
        <v>32.159999999999997</v>
      </c>
      <c r="BD59" s="258">
        <v>32.159999999999997</v>
      </c>
      <c r="BE59" s="258">
        <v>32.159999999999997</v>
      </c>
      <c r="BF59" s="258">
        <v>32.159999999999997</v>
      </c>
      <c r="BH59" s="258">
        <v>32.159999999999997</v>
      </c>
      <c r="BI59" s="258">
        <v>32.159999999999997</v>
      </c>
      <c r="BJ59" s="258">
        <v>32.159999999999997</v>
      </c>
      <c r="BK59" s="258">
        <v>32.159999999999997</v>
      </c>
      <c r="BL59" s="9"/>
      <c r="BM59" s="258">
        <v>32.159999999999997</v>
      </c>
      <c r="BN59" s="258">
        <v>32.159999999999997</v>
      </c>
      <c r="BO59" s="258">
        <v>32.159999999999997</v>
      </c>
      <c r="BP59" s="258">
        <v>32.159999999999997</v>
      </c>
    </row>
    <row r="60" spans="2:68" s="16" customFormat="1" ht="16.5" customHeight="1">
      <c r="B60" s="78" t="s">
        <v>8</v>
      </c>
      <c r="C60" s="79">
        <f t="shared" ref="C60:U60" si="166">+C58/C10</f>
        <v>0.1278350470499722</v>
      </c>
      <c r="D60" s="79">
        <f t="shared" si="166"/>
        <v>0.22324543577931458</v>
      </c>
      <c r="E60" s="79">
        <f t="shared" si="166"/>
        <v>7.965341891509721E-2</v>
      </c>
      <c r="F60" s="79">
        <f t="shared" si="166"/>
        <v>-4.8955822877770769E-2</v>
      </c>
      <c r="G60" s="79" t="e">
        <f t="shared" si="166"/>
        <v>#DIV/0!</v>
      </c>
      <c r="H60" s="79">
        <f t="shared" si="166"/>
        <v>3.4758400218172725E-2</v>
      </c>
      <c r="I60" s="79">
        <f t="shared" si="166"/>
        <v>0.12438598097948995</v>
      </c>
      <c r="J60" s="79">
        <f t="shared" si="166"/>
        <v>5.8761215555640643E-2</v>
      </c>
      <c r="K60" s="79">
        <f t="shared" si="166"/>
        <v>2.0996537286456112E-3</v>
      </c>
      <c r="L60" s="79">
        <f t="shared" si="166"/>
        <v>3.3279705607799233E-3</v>
      </c>
      <c r="M60" s="79" t="e">
        <f t="shared" si="166"/>
        <v>#DIV/0!</v>
      </c>
      <c r="N60" s="79">
        <f t="shared" si="166"/>
        <v>5.6198600982758702E-2</v>
      </c>
      <c r="O60" s="79">
        <f t="shared" si="166"/>
        <v>5.331610030611298E-2</v>
      </c>
      <c r="P60" s="79">
        <f t="shared" si="166"/>
        <v>0.10632369744731479</v>
      </c>
      <c r="Q60" s="79">
        <f t="shared" si="166"/>
        <v>0.10894557286449681</v>
      </c>
      <c r="R60" s="79">
        <f t="shared" si="166"/>
        <v>8.6430008610344014E-2</v>
      </c>
      <c r="S60" s="79">
        <f t="shared" si="166"/>
        <v>9.646637884889156E-2</v>
      </c>
      <c r="T60" s="79">
        <f t="shared" si="166"/>
        <v>6.7511733472840507E-2</v>
      </c>
      <c r="U60" s="79">
        <f t="shared" si="166"/>
        <v>5.8964382001954911E-2</v>
      </c>
      <c r="W60" s="79">
        <f t="shared" ref="W60:AD60" si="167">+W58/W10</f>
        <v>4.3133342904818725E-2</v>
      </c>
      <c r="X60" s="79">
        <f t="shared" si="167"/>
        <v>4.3133342904818725E-2</v>
      </c>
      <c r="Y60" s="79">
        <f t="shared" si="167"/>
        <v>6.0431967054244543E-2</v>
      </c>
      <c r="Z60" s="79">
        <f t="shared" si="167"/>
        <v>6.0431406065355769E-2</v>
      </c>
      <c r="AA60" s="79">
        <f t="shared" si="167"/>
        <v>0.11106968398260519</v>
      </c>
      <c r="AB60" s="79">
        <f t="shared" si="167"/>
        <v>0.11107020317798075</v>
      </c>
      <c r="AC60" s="79">
        <f t="shared" si="167"/>
        <v>2.6417427826383344E-2</v>
      </c>
      <c r="AD60" s="79">
        <f t="shared" si="167"/>
        <v>2.6417970936717532E-2</v>
      </c>
      <c r="AE60" s="79"/>
      <c r="AF60" s="79">
        <f t="shared" ref="AF60:AK60" si="168">+AF58/AF10</f>
        <v>6.6775087855598436E-2</v>
      </c>
      <c r="AG60" s="79">
        <f t="shared" si="168"/>
        <v>6.6827148640609055E-2</v>
      </c>
      <c r="AH60" s="79">
        <f t="shared" si="168"/>
        <v>6.4347227482714098E-2</v>
      </c>
      <c r="AI60" s="79">
        <f t="shared" si="168"/>
        <v>6.4431019104718573E-2</v>
      </c>
      <c r="AJ60" s="79">
        <f t="shared" si="168"/>
        <v>0.11270278337724648</v>
      </c>
      <c r="AK60" s="79">
        <f t="shared" si="168"/>
        <v>0.11282151604849409</v>
      </c>
      <c r="AN60" s="79">
        <f>+AN58/AN10</f>
        <v>8.8114959119450706E-2</v>
      </c>
      <c r="AO60" s="79">
        <f>+AO58/AO10</f>
        <v>8.8308628985573123E-2</v>
      </c>
      <c r="AQ60" s="79">
        <f t="shared" ref="AQ60:AV60" si="169">+AQ58/AQ10</f>
        <v>6.0000816915306308E-2</v>
      </c>
      <c r="AR60" s="79">
        <f t="shared" si="169"/>
        <v>6.0104379547896797E-2</v>
      </c>
      <c r="AS60" s="79">
        <f t="shared" si="169"/>
        <v>5.6853062478403424E-2</v>
      </c>
      <c r="AT60" s="79">
        <f t="shared" si="169"/>
        <v>5.6059801889765871E-2</v>
      </c>
      <c r="AU60" s="79">
        <f t="shared" si="169"/>
        <v>9.8813681844379747E-2</v>
      </c>
      <c r="AV60" s="79">
        <f t="shared" si="169"/>
        <v>7.5315595497771518E-2</v>
      </c>
      <c r="AX60" s="79">
        <v>7.2944110015482127E-3</v>
      </c>
      <c r="AY60" s="79">
        <v>1.8481031045107475E-2</v>
      </c>
      <c r="AZ60" s="79">
        <v>2.253891554545473E-2</v>
      </c>
      <c r="BA60" s="79">
        <f>+BA58/BA10</f>
        <v>-3.3825081122864048E-3</v>
      </c>
      <c r="BC60" s="79">
        <f>+BC58/BC10</f>
        <v>5.1054724145154558E-2</v>
      </c>
      <c r="BD60" s="79">
        <f>+BD58/BD10</f>
        <v>9.7455833969101666E-2</v>
      </c>
      <c r="BE60" s="79">
        <f>+BE58/BE10</f>
        <v>9.1039907275450957E-2</v>
      </c>
      <c r="BF60" s="79">
        <f>+BF58/BF10</f>
        <v>5.6011795945301673E-2</v>
      </c>
      <c r="BH60" s="79">
        <f>+BH58/BH10</f>
        <v>6.825899434012607E-2</v>
      </c>
      <c r="BI60" s="79">
        <f>+BI58/BI10</f>
        <v>6.970376337149202E-2</v>
      </c>
      <c r="BJ60" s="79">
        <v>6.4096542013865276E-2</v>
      </c>
      <c r="BK60" s="79">
        <f>+BK58/BK10</f>
        <v>6.7626873670250762E-2</v>
      </c>
      <c r="BL60" s="9"/>
      <c r="BM60" s="79">
        <v>9.9244495511934663E-2</v>
      </c>
      <c r="BN60" s="79">
        <v>7.1702702977522514E-2</v>
      </c>
      <c r="BO60" s="316">
        <f>+BO58/BO10</f>
        <v>7.5834494654482276E-2</v>
      </c>
      <c r="BP60" s="79">
        <v>1.1428033753758378E-2</v>
      </c>
    </row>
    <row r="61" spans="2:68" ht="6" customHeight="1">
      <c r="B61" s="7"/>
      <c r="C61" s="46"/>
      <c r="D61" s="47"/>
      <c r="E61" s="47"/>
      <c r="F61" s="47"/>
      <c r="G61" s="19"/>
      <c r="H61" s="47"/>
      <c r="I61" s="47"/>
      <c r="J61" s="47"/>
      <c r="K61" s="47"/>
      <c r="L61" s="47"/>
      <c r="N61" s="47"/>
      <c r="O61" s="47"/>
      <c r="P61" s="47"/>
      <c r="Q61" s="47"/>
      <c r="R61" s="47"/>
      <c r="S61" s="47"/>
      <c r="T61" s="47"/>
      <c r="U61" s="47"/>
      <c r="W61" s="47"/>
      <c r="X61" s="47"/>
      <c r="Y61" s="47"/>
      <c r="Z61" s="47"/>
      <c r="AA61" s="47"/>
      <c r="AB61" s="47"/>
      <c r="AC61" s="47"/>
      <c r="AD61" s="47"/>
      <c r="AE61" s="47"/>
      <c r="AF61" s="47"/>
      <c r="AG61" s="47"/>
      <c r="AH61" s="47"/>
      <c r="AI61" s="47"/>
      <c r="AJ61" s="47"/>
      <c r="AK61" s="47"/>
      <c r="AN61" s="47"/>
      <c r="AO61" s="47"/>
      <c r="AQ61" s="47"/>
      <c r="AR61" s="47"/>
      <c r="AS61" s="47"/>
      <c r="AT61" s="47"/>
      <c r="AU61" s="47"/>
      <c r="AV61" s="47"/>
      <c r="AX61" s="47"/>
      <c r="AY61" s="47"/>
      <c r="AZ61" s="47"/>
      <c r="BA61" s="47"/>
      <c r="BC61" s="47"/>
      <c r="BD61" s="47"/>
      <c r="BE61" s="47"/>
      <c r="BF61" s="47"/>
      <c r="BH61" s="47"/>
      <c r="BI61" s="47"/>
      <c r="BJ61" s="47"/>
      <c r="BK61" s="47"/>
      <c r="BL61" s="9"/>
      <c r="BM61" s="47"/>
      <c r="BN61" s="47"/>
      <c r="BO61" s="314"/>
      <c r="BP61" s="47"/>
    </row>
    <row r="62" spans="2:68" ht="16.5" customHeight="1">
      <c r="B62" s="2" t="s">
        <v>45</v>
      </c>
      <c r="C62" s="48"/>
      <c r="D62" s="67"/>
      <c r="E62" s="67"/>
      <c r="F62" s="67"/>
      <c r="G62" s="19"/>
      <c r="H62" s="67"/>
      <c r="I62" s="67"/>
      <c r="J62" s="67"/>
      <c r="K62" s="67"/>
      <c r="L62" s="67"/>
      <c r="N62" s="67"/>
      <c r="O62" s="67"/>
      <c r="P62" s="67"/>
      <c r="Q62" s="67"/>
      <c r="R62" s="67"/>
      <c r="S62" s="67"/>
      <c r="T62" s="67"/>
      <c r="U62" s="67"/>
      <c r="W62" s="67"/>
      <c r="X62" s="67"/>
      <c r="Y62" s="67"/>
      <c r="Z62" s="67"/>
      <c r="AA62" s="67"/>
      <c r="AB62" s="67"/>
      <c r="AC62" s="67"/>
      <c r="AD62" s="67"/>
      <c r="AE62" s="67"/>
      <c r="AF62" s="67"/>
      <c r="AG62" s="67"/>
      <c r="AH62" s="67"/>
      <c r="AI62" s="67"/>
      <c r="AJ62" s="67"/>
      <c r="AK62" s="67"/>
      <c r="AN62" s="67"/>
      <c r="AO62" s="67"/>
      <c r="AQ62" s="67"/>
      <c r="AR62" s="67"/>
      <c r="AS62" s="67"/>
      <c r="AT62" s="67"/>
      <c r="AU62" s="67"/>
      <c r="AV62" s="67"/>
      <c r="AX62" s="67"/>
      <c r="AY62" s="67"/>
      <c r="AZ62" s="67"/>
      <c r="BA62" s="67"/>
      <c r="BC62" s="67"/>
      <c r="BD62" s="67"/>
      <c r="BE62" s="67"/>
      <c r="BF62" s="67"/>
      <c r="BH62" s="67"/>
      <c r="BI62" s="67"/>
      <c r="BJ62" s="67"/>
      <c r="BK62" s="67"/>
      <c r="BL62" s="9"/>
      <c r="BM62" s="67"/>
      <c r="BN62" s="67"/>
      <c r="BO62" s="67"/>
      <c r="BP62" s="67"/>
    </row>
    <row r="63" spans="2:68" ht="16.5" customHeight="1">
      <c r="B63" s="53" t="s">
        <v>28</v>
      </c>
      <c r="C63" s="62">
        <v>134785</v>
      </c>
      <c r="D63" s="29">
        <v>153256</v>
      </c>
      <c r="E63" s="29">
        <f>72638-1</f>
        <v>72637</v>
      </c>
      <c r="F63" s="29">
        <v>48626</v>
      </c>
      <c r="G63" s="19"/>
      <c r="H63" s="29">
        <v>40116</v>
      </c>
      <c r="I63" s="29">
        <f>112642+1</f>
        <v>112643</v>
      </c>
      <c r="J63" s="29">
        <v>105978</v>
      </c>
      <c r="K63" s="29">
        <v>83418</v>
      </c>
      <c r="L63" s="153">
        <v>62752</v>
      </c>
      <c r="N63" s="29">
        <v>116044</v>
      </c>
      <c r="O63" s="29">
        <v>109607</v>
      </c>
      <c r="P63" s="29">
        <v>220642</v>
      </c>
      <c r="Q63" s="29">
        <f>222491</f>
        <v>222491</v>
      </c>
      <c r="R63" s="29">
        <v>153839</v>
      </c>
      <c r="S63" s="29">
        <v>170606</v>
      </c>
      <c r="T63" s="29">
        <v>52011</v>
      </c>
      <c r="U63" s="29">
        <v>39832</v>
      </c>
      <c r="W63" s="29">
        <v>24127</v>
      </c>
      <c r="X63" s="29">
        <v>24127</v>
      </c>
      <c r="Y63" s="29">
        <v>109632</v>
      </c>
      <c r="Z63" s="29">
        <v>109632</v>
      </c>
      <c r="AA63" s="29">
        <f>111719-1</f>
        <v>111718</v>
      </c>
      <c r="AB63" s="29">
        <f>111719-1</f>
        <v>111718</v>
      </c>
      <c r="AC63" s="29">
        <v>50447</v>
      </c>
      <c r="AD63" s="29">
        <v>50447</v>
      </c>
      <c r="AE63" s="29"/>
      <c r="AF63" s="29">
        <v>111597</v>
      </c>
      <c r="AG63" s="29">
        <v>111597</v>
      </c>
      <c r="AH63" s="29">
        <v>113642</v>
      </c>
      <c r="AI63" s="29">
        <v>113642</v>
      </c>
      <c r="AJ63" s="29">
        <v>144321</v>
      </c>
      <c r="AK63" s="29">
        <v>144321</v>
      </c>
      <c r="AN63" s="29">
        <f>153229+1+1</f>
        <v>153231</v>
      </c>
      <c r="AO63" s="29">
        <f>153229+1+1</f>
        <v>153231</v>
      </c>
      <c r="AQ63" s="29">
        <f>79049-1</f>
        <v>79048</v>
      </c>
      <c r="AR63" s="29">
        <f>79049</f>
        <v>79049</v>
      </c>
      <c r="AS63" s="29">
        <f>98904-1</f>
        <v>98903</v>
      </c>
      <c r="AT63" s="29">
        <f>98904-1-1</f>
        <v>98902</v>
      </c>
      <c r="AU63" s="29">
        <f>215165+1</f>
        <v>215166</v>
      </c>
      <c r="AV63" s="29">
        <v>173455</v>
      </c>
      <c r="AX63" s="29">
        <v>58564</v>
      </c>
      <c r="AY63" s="153">
        <v>52227</v>
      </c>
      <c r="AZ63" s="153">
        <v>70975</v>
      </c>
      <c r="BA63" s="153">
        <v>72192</v>
      </c>
      <c r="BC63" s="153">
        <v>116699</v>
      </c>
      <c r="BD63" s="153">
        <f>180927-1</f>
        <v>180926</v>
      </c>
      <c r="BE63" s="153">
        <f>163287+1</f>
        <v>163288</v>
      </c>
      <c r="BF63" s="153">
        <v>155321</v>
      </c>
      <c r="BH63" s="153">
        <v>153519</v>
      </c>
      <c r="BI63" s="153">
        <v>181686</v>
      </c>
      <c r="BJ63" s="153">
        <v>134154</v>
      </c>
      <c r="BK63" s="153">
        <f>89557+1</f>
        <v>89558</v>
      </c>
      <c r="BL63" s="9"/>
      <c r="BM63" s="153">
        <v>164192</v>
      </c>
      <c r="BN63" s="153">
        <v>145812</v>
      </c>
      <c r="BO63" s="153">
        <f>177595+1</f>
        <v>177596</v>
      </c>
      <c r="BP63" s="153">
        <v>56895</v>
      </c>
    </row>
    <row r="64" spans="2:68" ht="17.25" customHeight="1">
      <c r="B64" s="87" t="s">
        <v>29</v>
      </c>
      <c r="C64" s="88">
        <f>+C58-C63</f>
        <v>158312</v>
      </c>
      <c r="D64" s="88">
        <f>+D58-D63</f>
        <v>414937.79061002983</v>
      </c>
      <c r="E64" s="88">
        <f>+E58-E63</f>
        <v>105368</v>
      </c>
      <c r="F64" s="88">
        <f>+F58-F63</f>
        <v>-157485</v>
      </c>
      <c r="G64" s="75"/>
      <c r="H64" s="88">
        <f>+H58-H63</f>
        <v>51650</v>
      </c>
      <c r="I64" s="88">
        <f t="shared" ref="I64:L64" si="170">+I58-I63</f>
        <v>241841</v>
      </c>
      <c r="J64" s="88">
        <f t="shared" si="170"/>
        <v>82786</v>
      </c>
      <c r="K64" s="88">
        <f t="shared" si="170"/>
        <v>-75277</v>
      </c>
      <c r="L64" s="88">
        <f t="shared" si="170"/>
        <v>-49447</v>
      </c>
      <c r="N64" s="88">
        <f t="shared" ref="N64:T64" si="171">+N58-N63</f>
        <v>111905</v>
      </c>
      <c r="O64" s="88">
        <f t="shared" si="171"/>
        <v>105930</v>
      </c>
      <c r="P64" s="88">
        <f t="shared" si="171"/>
        <v>140395</v>
      </c>
      <c r="Q64" s="88">
        <f t="shared" si="171"/>
        <v>146222</v>
      </c>
      <c r="R64" s="88">
        <f t="shared" si="171"/>
        <v>136759</v>
      </c>
      <c r="S64" s="88">
        <f t="shared" ref="S64" si="172">+S58-S63</f>
        <v>157565</v>
      </c>
      <c r="T64" s="88">
        <f t="shared" si="171"/>
        <v>200407</v>
      </c>
      <c r="U64" s="88">
        <f t="shared" ref="U64" si="173">+U58-U63</f>
        <v>179749</v>
      </c>
      <c r="W64" s="88">
        <f t="shared" ref="W64:AC64" si="174">+W58-W63</f>
        <v>120680</v>
      </c>
      <c r="X64" s="88">
        <f t="shared" si="174"/>
        <v>120680</v>
      </c>
      <c r="Y64" s="88">
        <f t="shared" si="174"/>
        <v>105816</v>
      </c>
      <c r="Z64" s="88">
        <f t="shared" si="174"/>
        <v>105814</v>
      </c>
      <c r="AA64" s="88">
        <f t="shared" si="174"/>
        <v>339896</v>
      </c>
      <c r="AB64" s="88">
        <f t="shared" si="174"/>
        <v>339898</v>
      </c>
      <c r="AC64" s="88">
        <f t="shared" si="174"/>
        <v>44265</v>
      </c>
      <c r="AD64" s="88">
        <f t="shared" ref="AD64" si="175">+AD58-AD63</f>
        <v>44267</v>
      </c>
      <c r="AE64" s="204"/>
      <c r="AF64" s="88">
        <f t="shared" ref="AF64:AK64" si="176">+AF58-AF63</f>
        <v>109465</v>
      </c>
      <c r="AG64" s="88">
        <f t="shared" si="176"/>
        <v>109464</v>
      </c>
      <c r="AH64" s="88">
        <f t="shared" si="176"/>
        <v>119109</v>
      </c>
      <c r="AI64" s="88">
        <f t="shared" si="176"/>
        <v>119109</v>
      </c>
      <c r="AJ64" s="88">
        <f t="shared" si="176"/>
        <v>265719</v>
      </c>
      <c r="AK64" s="88">
        <f t="shared" si="176"/>
        <v>265720</v>
      </c>
      <c r="AN64" s="88">
        <f t="shared" ref="AN64:AO64" si="177">+AN58-AN63</f>
        <v>177034</v>
      </c>
      <c r="AO64" s="88">
        <f t="shared" si="177"/>
        <v>177034</v>
      </c>
      <c r="AQ64" s="88">
        <f t="shared" ref="AQ64:AV64" si="178">+AQ58-AQ63</f>
        <v>144234</v>
      </c>
      <c r="AR64" s="88">
        <f t="shared" si="178"/>
        <v>144233</v>
      </c>
      <c r="AS64" s="88">
        <f t="shared" si="178"/>
        <v>120582</v>
      </c>
      <c r="AT64" s="88">
        <f t="shared" si="178"/>
        <v>120583</v>
      </c>
      <c r="AU64" s="88">
        <f t="shared" si="178"/>
        <v>301401</v>
      </c>
      <c r="AV64" s="88">
        <f t="shared" si="178"/>
        <v>123349</v>
      </c>
      <c r="AX64" s="88">
        <v>-32189</v>
      </c>
      <c r="AY64" s="259">
        <v>9607</v>
      </c>
      <c r="AZ64" s="259">
        <v>6856</v>
      </c>
      <c r="BA64" s="259">
        <f t="shared" ref="BA64" si="179">+BA58-BA63</f>
        <v>-84287</v>
      </c>
      <c r="BC64" s="259">
        <f t="shared" ref="BC64:BF64" si="180">+BC58-BC63</f>
        <v>73889</v>
      </c>
      <c r="BD64" s="259">
        <f t="shared" si="180"/>
        <v>211492</v>
      </c>
      <c r="BE64" s="259">
        <f t="shared" si="180"/>
        <v>211379</v>
      </c>
      <c r="BF64" s="259">
        <f t="shared" si="180"/>
        <v>93039</v>
      </c>
      <c r="BH64" s="259">
        <f t="shared" ref="BH64:BI64" si="181">+BH58-BH63</f>
        <v>161408</v>
      </c>
      <c r="BI64" s="259">
        <f t="shared" si="181"/>
        <v>229433</v>
      </c>
      <c r="BJ64" s="259">
        <v>191976</v>
      </c>
      <c r="BK64" s="259">
        <f t="shared" ref="BK64" si="182">+BK58-BK63</f>
        <v>298607</v>
      </c>
      <c r="BL64" s="9"/>
      <c r="BM64" s="259">
        <v>405958</v>
      </c>
      <c r="BN64" s="259">
        <v>312540</v>
      </c>
      <c r="BO64" s="259">
        <f t="shared" ref="BO64" si="183">+BO58-BO63</f>
        <v>189772</v>
      </c>
      <c r="BP64" s="259">
        <v>7233</v>
      </c>
    </row>
    <row r="65" spans="2:68" ht="17.25" hidden="1" customHeight="1">
      <c r="B65" s="89" t="s">
        <v>48</v>
      </c>
      <c r="C65" s="77">
        <v>78.400000000000006</v>
      </c>
      <c r="D65" s="77">
        <v>221.01</v>
      </c>
      <c r="E65" s="77">
        <v>53.6</v>
      </c>
      <c r="F65" s="77">
        <v>-41.9</v>
      </c>
      <c r="G65" s="75"/>
      <c r="H65" s="77">
        <v>17.36</v>
      </c>
      <c r="I65" s="77">
        <v>95.76</v>
      </c>
      <c r="J65" s="77">
        <v>27.22</v>
      </c>
      <c r="K65" s="77">
        <v>-22.77</v>
      </c>
      <c r="L65" s="77" t="e">
        <f>+#REF!-J65-I65-H65</f>
        <v>#REF!</v>
      </c>
      <c r="M65" s="9"/>
      <c r="N65" s="77">
        <v>17.36</v>
      </c>
      <c r="O65" s="77">
        <v>17.36</v>
      </c>
      <c r="P65" s="77">
        <v>17.36</v>
      </c>
      <c r="Q65" s="77">
        <v>17.36</v>
      </c>
      <c r="R65" s="77">
        <v>17.36</v>
      </c>
      <c r="S65" s="77">
        <v>17.36</v>
      </c>
      <c r="T65" s="77"/>
      <c r="U65" s="77"/>
      <c r="W65" s="77">
        <v>17.36</v>
      </c>
      <c r="X65" s="77">
        <v>17.36</v>
      </c>
      <c r="Y65" s="77">
        <v>17.36</v>
      </c>
      <c r="Z65" s="77">
        <v>17.36</v>
      </c>
      <c r="AA65" s="77">
        <v>17.36</v>
      </c>
      <c r="AB65" s="77">
        <v>17.36</v>
      </c>
      <c r="AC65" s="77">
        <v>17.36</v>
      </c>
      <c r="AD65" s="77">
        <v>17.36</v>
      </c>
      <c r="AE65" s="61"/>
      <c r="AF65" s="77">
        <v>17.36</v>
      </c>
      <c r="AG65" s="77">
        <v>17.36</v>
      </c>
      <c r="AH65" s="77">
        <v>17.36</v>
      </c>
      <c r="AI65" s="77">
        <v>17.36</v>
      </c>
      <c r="AJ65" s="77">
        <v>17.36</v>
      </c>
      <c r="AK65" s="77">
        <v>17.36</v>
      </c>
      <c r="AN65" s="77">
        <v>17.36</v>
      </c>
      <c r="AO65" s="77">
        <v>17.36</v>
      </c>
      <c r="AQ65" s="77">
        <v>17.36</v>
      </c>
      <c r="AR65" s="77">
        <v>17.36</v>
      </c>
      <c r="AS65" s="77">
        <v>17.36</v>
      </c>
      <c r="AT65" s="77">
        <v>17.36</v>
      </c>
      <c r="AU65" s="77">
        <v>17.36</v>
      </c>
      <c r="AV65" s="77">
        <v>17.36</v>
      </c>
      <c r="AX65" s="77">
        <v>17.36</v>
      </c>
      <c r="AY65" s="254">
        <v>17.36</v>
      </c>
      <c r="AZ65" s="254">
        <v>17.36</v>
      </c>
      <c r="BA65" s="254">
        <v>17.36</v>
      </c>
      <c r="BC65" s="254">
        <v>17.36</v>
      </c>
      <c r="BD65" s="254">
        <v>17.36</v>
      </c>
      <c r="BE65" s="254">
        <v>17.36</v>
      </c>
      <c r="BF65" s="254">
        <v>17.36</v>
      </c>
      <c r="BH65" s="254">
        <v>17.36</v>
      </c>
      <c r="BI65" s="254"/>
      <c r="BJ65" s="254"/>
      <c r="BK65" s="254"/>
      <c r="BM65" s="254"/>
      <c r="BN65" s="254"/>
      <c r="BO65" s="254"/>
      <c r="BP65" s="254"/>
    </row>
    <row r="66" spans="2:68" s="16" customFormat="1" ht="16.5" customHeight="1">
      <c r="B66" s="90" t="s">
        <v>46</v>
      </c>
      <c r="C66" s="85">
        <f>+C64/C$10</f>
        <v>6.9048205776842467E-2</v>
      </c>
      <c r="D66" s="85">
        <f>+D64/D$10</f>
        <v>0.1630305881846906</v>
      </c>
      <c r="E66" s="85">
        <f>+E64/E$10</f>
        <v>4.7149919632852803E-2</v>
      </c>
      <c r="F66" s="85">
        <f>+F64/F$10</f>
        <v>-7.0823797443534564E-2</v>
      </c>
      <c r="G66" s="86"/>
      <c r="H66" s="85">
        <f>+H64/H$10</f>
        <v>1.9563578790277678E-2</v>
      </c>
      <c r="I66" s="85">
        <f>+I64/I$10</f>
        <v>8.4860332274688921E-2</v>
      </c>
      <c r="J66" s="85">
        <f>+J64/J$10</f>
        <v>2.5770835492939681E-2</v>
      </c>
      <c r="K66" s="85">
        <f>+K64/K$10</f>
        <v>-1.9414768914292554E-2</v>
      </c>
      <c r="L66" s="85">
        <f>+L64/L$10</f>
        <v>-1.2368144330618929E-2</v>
      </c>
      <c r="N66" s="85">
        <f t="shared" ref="N66:T66" si="184">+N64/N$10</f>
        <v>2.7589085466378938E-2</v>
      </c>
      <c r="O66" s="85">
        <f t="shared" si="184"/>
        <v>2.6203271389258216E-2</v>
      </c>
      <c r="P66" s="85">
        <f t="shared" si="184"/>
        <v>4.1345666796244594E-2</v>
      </c>
      <c r="Q66" s="85">
        <f t="shared" si="184"/>
        <v>4.3204984785978395E-2</v>
      </c>
      <c r="R66" s="85">
        <f t="shared" si="184"/>
        <v>4.0675027176863006E-2</v>
      </c>
      <c r="S66" s="85">
        <f t="shared" ref="S66" si="185">+S64/S$10</f>
        <v>4.6316478248613062E-2</v>
      </c>
      <c r="T66" s="85">
        <f t="shared" si="184"/>
        <v>5.3600868282339398E-2</v>
      </c>
      <c r="U66" s="85">
        <f t="shared" ref="U66" si="186">+U64/U$10</f>
        <v>4.8268241334493388E-2</v>
      </c>
      <c r="W66" s="85">
        <f t="shared" ref="W66:AC66" si="187">+W64/W$10</f>
        <v>3.5946686429202485E-2</v>
      </c>
      <c r="X66" s="85">
        <f t="shared" si="187"/>
        <v>3.5946686429202485E-2</v>
      </c>
      <c r="Y66" s="85">
        <f t="shared" si="187"/>
        <v>2.9680800127232281E-2</v>
      </c>
      <c r="Z66" s="85">
        <f t="shared" si="187"/>
        <v>2.9680239138343507E-2</v>
      </c>
      <c r="AA66" s="85">
        <f t="shared" si="187"/>
        <v>8.3593824166105515E-2</v>
      </c>
      <c r="AB66" s="85">
        <f t="shared" ref="AB66" si="188">+AB64/AB$10</f>
        <v>8.3594336604082442E-2</v>
      </c>
      <c r="AC66" s="85">
        <f t="shared" si="187"/>
        <v>1.234656054918974E-2</v>
      </c>
      <c r="AD66" s="85">
        <f t="shared" ref="AD66" si="189">+AD64/AD$10</f>
        <v>1.2347111508918164E-2</v>
      </c>
      <c r="AE66" s="79"/>
      <c r="AF66" s="85">
        <f t="shared" ref="AF66:AK66" si="190">+AF64/AF$10</f>
        <v>3.30655426627511E-2</v>
      </c>
      <c r="AG66" s="85">
        <f t="shared" si="190"/>
        <v>3.3091169400281506E-2</v>
      </c>
      <c r="AH66" s="85">
        <f t="shared" si="190"/>
        <v>3.2929327557082867E-2</v>
      </c>
      <c r="AI66" s="85">
        <f t="shared" si="190"/>
        <v>3.2972207442906472E-2</v>
      </c>
      <c r="AJ66" s="85">
        <f t="shared" si="190"/>
        <v>7.303499877138464E-2</v>
      </c>
      <c r="AK66" s="85">
        <f t="shared" si="190"/>
        <v>7.3112038172782362E-2</v>
      </c>
      <c r="AN66" s="85">
        <f t="shared" ref="AN66:AO66" si="191">+AN64/AN$10</f>
        <v>4.7232809025336733E-2</v>
      </c>
      <c r="AO66" s="85">
        <f t="shared" si="191"/>
        <v>4.7336623087011802E-2</v>
      </c>
      <c r="AQ66" s="85">
        <f t="shared" ref="AQ66:AV66" si="192">+AQ64/AQ$10</f>
        <v>3.8758869174238361E-2</v>
      </c>
      <c r="AR66" s="85">
        <f t="shared" si="192"/>
        <v>3.8825498586235338E-2</v>
      </c>
      <c r="AS66" s="85">
        <f t="shared" si="192"/>
        <v>3.1234280154775234E-2</v>
      </c>
      <c r="AT66" s="85">
        <f t="shared" si="192"/>
        <v>3.0798729258371359E-2</v>
      </c>
      <c r="AU66" s="85">
        <f t="shared" si="192"/>
        <v>5.7654752474660398E-2</v>
      </c>
      <c r="AV66" s="85">
        <f t="shared" si="192"/>
        <v>3.1300465590270408E-2</v>
      </c>
      <c r="AX66" s="85">
        <v>-8.9023619233681676E-3</v>
      </c>
      <c r="AY66" s="85">
        <v>2.8713533856834028E-3</v>
      </c>
      <c r="AZ66" s="85">
        <v>1.9854146160223772E-3</v>
      </c>
      <c r="BA66" s="85">
        <f t="shared" ref="BA66" si="193">+BA64/BA$10</f>
        <v>-2.3571844668068144E-2</v>
      </c>
      <c r="BC66" s="85">
        <f t="shared" ref="BC66:BF66" si="194">+BC64/BC$10</f>
        <v>1.9793389470277905E-2</v>
      </c>
      <c r="BD66" s="85">
        <f t="shared" si="194"/>
        <v>5.2523404221501688E-2</v>
      </c>
      <c r="BE66" s="85">
        <f t="shared" si="194"/>
        <v>5.1362742275080399E-2</v>
      </c>
      <c r="BF66" s="85">
        <f t="shared" si="194"/>
        <v>2.0982772922189249E-2</v>
      </c>
      <c r="BH66" s="85">
        <f t="shared" ref="BH66:BI66" si="195">+BH64/BH$10</f>
        <v>3.4984449597687935E-2</v>
      </c>
      <c r="BI66" s="85">
        <f t="shared" si="195"/>
        <v>3.8899548650418808E-2</v>
      </c>
      <c r="BJ66" s="85">
        <v>3.7730346026596147E-2</v>
      </c>
      <c r="BK66" s="85">
        <f t="shared" ref="BK66" si="196">+BK64/BK$10</f>
        <v>5.2023901861457292E-2</v>
      </c>
      <c r="BM66" s="85">
        <v>7.0664030358737126E-2</v>
      </c>
      <c r="BN66" s="85">
        <v>4.8892473008942658E-2</v>
      </c>
      <c r="BO66" s="315">
        <f t="shared" ref="BO66" si="197">+BO64/BO$10</f>
        <v>3.9173971928884416E-2</v>
      </c>
      <c r="BP66" s="85">
        <v>1.2889684403214563E-3</v>
      </c>
    </row>
    <row r="67" spans="2:68" ht="16.5" customHeight="1">
      <c r="B67" s="2"/>
      <c r="C67" s="6"/>
      <c r="D67" s="48"/>
      <c r="E67" s="48"/>
      <c r="F67" s="48"/>
      <c r="G67" s="5"/>
    </row>
    <row r="68" spans="2:68" ht="16.5" hidden="1" customHeight="1">
      <c r="C68" s="3" t="e">
        <f>+#REF!</f>
        <v>#REF!</v>
      </c>
      <c r="D68" s="68">
        <v>18436</v>
      </c>
      <c r="E68" s="68"/>
      <c r="F68" s="68"/>
      <c r="G68" s="3"/>
    </row>
    <row r="69" spans="2:68" ht="16.5" hidden="1" customHeight="1">
      <c r="B69" s="1" t="s">
        <v>43</v>
      </c>
      <c r="C69" s="3" t="e">
        <f>+C64-C68</f>
        <v>#REF!</v>
      </c>
      <c r="D69" s="68">
        <f>+D64-D68</f>
        <v>396501.79061002983</v>
      </c>
      <c r="E69" s="68"/>
      <c r="F69" s="68"/>
      <c r="G69" s="3"/>
    </row>
    <row r="70" spans="2:68" ht="16.5" hidden="1" customHeight="1">
      <c r="C70" s="3"/>
      <c r="D70" s="69"/>
      <c r="E70" s="69"/>
      <c r="F70" s="69"/>
      <c r="G70" s="3"/>
    </row>
    <row r="71" spans="2:68" ht="16.5" hidden="1" customHeight="1"/>
    <row r="72" spans="2:68" ht="16.5" hidden="1" customHeight="1"/>
    <row r="73" spans="2:68" ht="16.5" hidden="1" customHeight="1">
      <c r="B73" s="55" t="s">
        <v>69</v>
      </c>
      <c r="C73" s="70">
        <f>+C77+C81</f>
        <v>307948</v>
      </c>
    </row>
    <row r="74" spans="2:68" ht="16.5" hidden="1" customHeight="1">
      <c r="B74" s="1" t="s">
        <v>66</v>
      </c>
      <c r="C74" s="52">
        <v>129201</v>
      </c>
      <c r="D74" s="19" t="s">
        <v>80</v>
      </c>
    </row>
    <row r="75" spans="2:68" ht="16.5" hidden="1" customHeight="1">
      <c r="B75" s="1" t="s">
        <v>63</v>
      </c>
      <c r="C75" s="52">
        <v>102521</v>
      </c>
      <c r="D75" s="19" t="s">
        <v>80</v>
      </c>
    </row>
    <row r="76" spans="2:68" ht="16.5" hidden="1" customHeight="1">
      <c r="B76" s="1" t="s">
        <v>64</v>
      </c>
      <c r="C76" s="52">
        <v>43795</v>
      </c>
      <c r="D76" s="19" t="s">
        <v>80</v>
      </c>
    </row>
    <row r="77" spans="2:68" ht="16.5" hidden="1" customHeight="1">
      <c r="B77" s="1" t="s">
        <v>81</v>
      </c>
      <c r="C77" s="70">
        <f>SUM(C74:C76)</f>
        <v>275517</v>
      </c>
    </row>
    <row r="78" spans="2:68" ht="16.5" hidden="1" customHeight="1"/>
    <row r="79" spans="2:68" ht="16.5" hidden="1" customHeight="1">
      <c r="B79" s="1" t="s">
        <v>65</v>
      </c>
      <c r="C79" s="52">
        <v>19597</v>
      </c>
      <c r="D79" s="19" t="s">
        <v>68</v>
      </c>
    </row>
    <row r="80" spans="2:68" ht="16.5" hidden="1" customHeight="1">
      <c r="B80" s="1" t="s">
        <v>66</v>
      </c>
      <c r="C80" s="52">
        <v>12834</v>
      </c>
      <c r="D80" s="19" t="s">
        <v>68</v>
      </c>
    </row>
    <row r="81" spans="2:64" ht="16.5" hidden="1" customHeight="1">
      <c r="B81" s="1" t="s">
        <v>67</v>
      </c>
      <c r="C81" s="50">
        <f>+C79+C80</f>
        <v>32431</v>
      </c>
    </row>
    <row r="82" spans="2:64" ht="16.5" hidden="1" customHeight="1"/>
    <row r="83" spans="2:64" ht="16.5" hidden="1" customHeight="1"/>
    <row r="84" spans="2:64" ht="16.5" hidden="1" customHeight="1">
      <c r="B84" s="2" t="s">
        <v>73</v>
      </c>
      <c r="C84" s="71" t="s">
        <v>77</v>
      </c>
      <c r="D84" s="72"/>
      <c r="E84" s="72"/>
      <c r="F84" s="72"/>
      <c r="G84" s="72"/>
    </row>
    <row r="85" spans="2:64" ht="16.5" hidden="1" customHeight="1">
      <c r="B85" s="1" t="s">
        <v>74</v>
      </c>
      <c r="C85" s="52">
        <v>275456</v>
      </c>
      <c r="D85" s="73"/>
      <c r="E85" s="73"/>
      <c r="F85" s="73"/>
    </row>
    <row r="86" spans="2:64" ht="16.5" hidden="1" customHeight="1">
      <c r="B86" s="1" t="s">
        <v>71</v>
      </c>
      <c r="C86" s="52">
        <v>14612</v>
      </c>
    </row>
    <row r="87" spans="2:64" ht="16.5" hidden="1" customHeight="1">
      <c r="B87" s="1" t="s">
        <v>70</v>
      </c>
      <c r="C87" s="52">
        <f>+C86-C85</f>
        <v>-260844</v>
      </c>
    </row>
    <row r="88" spans="2:64" ht="16.5" hidden="1" customHeight="1">
      <c r="B88" s="1" t="s">
        <v>75</v>
      </c>
      <c r="C88" s="52">
        <f>32431-2168</f>
        <v>30263</v>
      </c>
    </row>
    <row r="89" spans="2:64" ht="16.5" hidden="1" customHeight="1">
      <c r="B89" s="1" t="s">
        <v>72</v>
      </c>
      <c r="C89" s="52">
        <f>27059-5379</f>
        <v>21680</v>
      </c>
    </row>
    <row r="90" spans="2:64" ht="16.5" hidden="1" customHeight="1">
      <c r="B90" s="2" t="s">
        <v>76</v>
      </c>
      <c r="C90" s="50">
        <f>+C87-C88-C89</f>
        <v>-312787</v>
      </c>
    </row>
    <row r="91" spans="2:64" ht="16.5" hidden="1" customHeight="1">
      <c r="C91" s="4">
        <f>+C90-C47</f>
        <v>-41289</v>
      </c>
    </row>
    <row r="92" spans="2:64" ht="16.5" hidden="1" customHeight="1"/>
    <row r="93" spans="2:64" ht="16.5" customHeight="1">
      <c r="C93" s="245"/>
      <c r="D93" s="246"/>
      <c r="E93" s="246"/>
      <c r="F93" s="246"/>
      <c r="G93" s="245"/>
      <c r="H93" s="245"/>
      <c r="I93" s="245"/>
      <c r="J93" s="246"/>
      <c r="K93" s="216"/>
      <c r="L93" s="216"/>
      <c r="M93" s="216"/>
      <c r="N93" s="245"/>
      <c r="O93" s="245"/>
      <c r="P93" s="216"/>
      <c r="Q93" s="216"/>
      <c r="R93" s="216"/>
      <c r="S93" s="216"/>
      <c r="T93" s="216"/>
      <c r="U93" s="216"/>
      <c r="V93" s="216"/>
      <c r="W93" s="216"/>
      <c r="X93" s="216"/>
      <c r="Y93" s="216"/>
      <c r="Z93" s="216"/>
      <c r="AA93" s="216"/>
      <c r="AB93" s="216"/>
      <c r="AC93" s="216"/>
      <c r="AD93" s="216"/>
      <c r="AE93" s="247"/>
      <c r="AF93" s="216"/>
      <c r="AG93" s="216"/>
      <c r="AH93" s="216"/>
      <c r="AI93" s="216"/>
      <c r="AJ93" s="216"/>
      <c r="AK93" s="216"/>
      <c r="AL93" s="216"/>
      <c r="AM93" s="216"/>
      <c r="AN93" s="216"/>
      <c r="AO93" s="216"/>
      <c r="AP93" s="216"/>
      <c r="AQ93" s="216"/>
      <c r="AR93" s="216"/>
      <c r="AS93" s="216"/>
      <c r="AT93" s="216"/>
      <c r="AU93" s="216"/>
      <c r="AV93" s="216"/>
      <c r="AW93" s="216"/>
      <c r="AX93" s="216"/>
      <c r="AY93" s="216"/>
      <c r="AZ93" s="260"/>
      <c r="BB93" s="216"/>
      <c r="BG93" s="216"/>
      <c r="BL93" s="216"/>
    </row>
    <row r="94" spans="2:64" ht="16.5" customHeight="1">
      <c r="D94" s="73"/>
      <c r="E94" s="73"/>
      <c r="F94" s="73"/>
    </row>
    <row r="95" spans="2:64" ht="16.5" customHeight="1">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B95" s="9"/>
      <c r="BG95" s="9"/>
      <c r="BL95" s="9"/>
    </row>
    <row r="96" spans="2:64" ht="144" customHeight="1">
      <c r="O96" s="371" t="s">
        <v>217</v>
      </c>
      <c r="P96" s="371"/>
      <c r="Q96" s="371"/>
      <c r="R96" s="371"/>
      <c r="S96" s="371"/>
      <c r="T96" s="371"/>
      <c r="U96" s="371"/>
      <c r="V96" s="201"/>
      <c r="W96" s="371" t="s">
        <v>232</v>
      </c>
      <c r="X96" s="371"/>
      <c r="Y96" s="371"/>
      <c r="Z96" s="371"/>
      <c r="AA96" s="371"/>
      <c r="AB96" s="371"/>
      <c r="AC96" s="371"/>
      <c r="AD96" s="214"/>
      <c r="AF96" s="368" t="s">
        <v>278</v>
      </c>
      <c r="AG96" s="368"/>
      <c r="AH96" s="368"/>
      <c r="AI96" s="368"/>
      <c r="AJ96" s="368"/>
      <c r="AK96" s="368"/>
      <c r="AL96" s="368"/>
      <c r="AM96" s="368"/>
      <c r="AN96" s="368"/>
      <c r="AO96" s="368"/>
      <c r="AT96" s="1" t="s">
        <v>271</v>
      </c>
    </row>
    <row r="97" spans="4:46" ht="16.5" customHeight="1">
      <c r="D97" s="74"/>
      <c r="E97" s="74"/>
      <c r="F97" s="74"/>
    </row>
    <row r="98" spans="4:46" ht="84.75" customHeight="1">
      <c r="D98" s="74"/>
      <c r="E98" s="74"/>
      <c r="F98" s="74"/>
      <c r="AF98" s="368" t="s">
        <v>279</v>
      </c>
      <c r="AG98" s="368"/>
      <c r="AH98" s="368"/>
      <c r="AI98" s="368"/>
      <c r="AJ98" s="368"/>
      <c r="AK98" s="368"/>
      <c r="AL98" s="368"/>
      <c r="AM98" s="368"/>
      <c r="AN98" s="368"/>
      <c r="AO98" s="368"/>
      <c r="AP98" s="215"/>
      <c r="AQ98" s="215"/>
      <c r="AR98" s="215"/>
      <c r="AS98" s="215"/>
      <c r="AT98" s="215"/>
    </row>
    <row r="99" spans="4:46" ht="16.5" customHeight="1">
      <c r="W99" s="9"/>
      <c r="X99" s="9"/>
      <c r="Y99" s="9"/>
      <c r="Z99" s="9"/>
      <c r="AA99" s="9"/>
    </row>
    <row r="103" spans="4:46" ht="16.5" customHeight="1">
      <c r="AG103" s="216"/>
    </row>
    <row r="105" spans="4:46" ht="16.5" customHeight="1">
      <c r="AH105" s="217"/>
    </row>
  </sheetData>
  <mergeCells count="14">
    <mergeCell ref="BM6:BP6"/>
    <mergeCell ref="C6:F6"/>
    <mergeCell ref="H6:K6"/>
    <mergeCell ref="AX6:BA6"/>
    <mergeCell ref="AQ6:AV6"/>
    <mergeCell ref="BC6:BF6"/>
    <mergeCell ref="BH6:BK6"/>
    <mergeCell ref="AF96:AO96"/>
    <mergeCell ref="AF98:AO98"/>
    <mergeCell ref="N6:U6"/>
    <mergeCell ref="W6:AC6"/>
    <mergeCell ref="O96:U96"/>
    <mergeCell ref="W96:AC96"/>
    <mergeCell ref="AF6:AN6"/>
  </mergeCells>
  <pageMargins left="0.7" right="0.7" top="0.75" bottom="0.75" header="0.3" footer="0.3"/>
  <pageSetup orientation="portrait" r:id="rId1"/>
  <headerFooter alignWithMargins="0"/>
  <customProperties>
    <customPr name="EpmWorksheetKeyString_GUID" r:id="rId2"/>
  </customProperties>
  <ignoredErrors>
    <ignoredError sqref="G10" formulaRange="1"/>
    <ignoredError sqref="AQ6" numberStoredAsText="1"/>
  </ignoredErrors>
  <drawing r:id="rId3"/>
  <legacyDrawing r:id="rId4"/>
  <controls>
    <mc:AlternateContent xmlns:mc="http://schemas.openxmlformats.org/markup-compatibility/2006">
      <mc:Choice Requires="x14">
        <control shapeId="39937" r:id="rId5" name="FPMExcelClientSheetOptionstb1">
          <controlPr defaultSize="0" autoLine="0" autoPict="0" r:id="rId6">
            <anchor moveWithCells="1" sizeWithCells="1">
              <from>
                <xdr:col>0</xdr:col>
                <xdr:colOff>0</xdr:colOff>
                <xdr:row>0</xdr:row>
                <xdr:rowOff>0</xdr:rowOff>
              </from>
              <to>
                <xdr:col>1</xdr:col>
                <xdr:colOff>762000</xdr:colOff>
                <xdr:row>0</xdr:row>
                <xdr:rowOff>0</xdr:rowOff>
              </to>
            </anchor>
          </controlPr>
        </control>
      </mc:Choice>
      <mc:Fallback>
        <control shapeId="39937" r:id="rId5" name="FPMExcelClientSheetOptionstb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CB07E-A524-4091-9685-5EDE44B0AE94}">
  <sheetPr>
    <tabColor rgb="FF002060"/>
    <pageSetUpPr fitToPage="1"/>
  </sheetPr>
  <dimension ref="A1:AL111"/>
  <sheetViews>
    <sheetView showGridLines="0" topLeftCell="B1" zoomScale="85" zoomScaleNormal="85" workbookViewId="0">
      <pane xSplit="1" ySplit="9" topLeftCell="T10" activePane="bottomRight" state="frozen"/>
      <selection activeCell="D38" sqref="D38"/>
      <selection pane="topRight" activeCell="D38" sqref="D38"/>
      <selection pane="bottomLeft" activeCell="D38" sqref="D38"/>
      <selection pane="bottomRight" activeCell="AK10" sqref="AK10"/>
    </sheetView>
  </sheetViews>
  <sheetFormatPr baseColWidth="10" defaultColWidth="13" defaultRowHeight="12.5"/>
  <cols>
    <col min="1" max="1" width="13" style="11" customWidth="1"/>
    <col min="2" max="2" width="39.36328125" style="11" bestFit="1" customWidth="1"/>
    <col min="3" max="3" width="10.26953125" style="11" bestFit="1" customWidth="1"/>
    <col min="4" max="4" width="1.6328125" style="11" customWidth="1"/>
    <col min="5" max="8" width="11.26953125" style="10" customWidth="1"/>
    <col min="9" max="9" width="2" style="11" customWidth="1"/>
    <col min="10" max="13" width="11.26953125" style="11" customWidth="1"/>
    <col min="14" max="14" width="15.6328125" style="11" customWidth="1"/>
    <col min="15" max="15" width="2" style="11" customWidth="1"/>
    <col min="16" max="18" width="13" style="11"/>
    <col min="19" max="19" width="14.08984375" style="11" bestFit="1" customWidth="1"/>
    <col min="20" max="21" width="13" style="11"/>
    <col min="22" max="22" width="1.36328125" style="11" customWidth="1"/>
    <col min="23" max="26" width="13" style="11"/>
    <col min="27" max="27" width="4.6328125" style="116" customWidth="1"/>
    <col min="28" max="31" width="10.26953125" style="11" bestFit="1" customWidth="1"/>
    <col min="32" max="32" width="5" style="11" customWidth="1"/>
    <col min="33" max="36" width="10.26953125" style="11" bestFit="1" customWidth="1"/>
    <col min="37" max="37" width="8.36328125" style="11" customWidth="1"/>
    <col min="38" max="38" width="10.7265625" style="11" customWidth="1"/>
    <col min="39" max="16384" width="13" style="11"/>
  </cols>
  <sheetData>
    <row r="1" spans="2:38" ht="13">
      <c r="B1" s="378" t="s">
        <v>0</v>
      </c>
      <c r="C1" s="378"/>
      <c r="D1" s="378"/>
      <c r="E1" s="378"/>
      <c r="F1" s="378"/>
      <c r="G1" s="378"/>
      <c r="H1" s="378"/>
      <c r="I1" s="378"/>
      <c r="J1" s="378"/>
      <c r="K1" s="378"/>
    </row>
    <row r="2" spans="2:38" ht="13">
      <c r="B2" s="378" t="s">
        <v>87</v>
      </c>
      <c r="C2" s="378"/>
      <c r="D2" s="378"/>
      <c r="E2" s="378"/>
      <c r="F2" s="378"/>
      <c r="G2" s="378"/>
      <c r="H2" s="378"/>
      <c r="I2" s="378"/>
      <c r="J2" s="378"/>
      <c r="K2" s="378"/>
    </row>
    <row r="3" spans="2:38" ht="12.75" customHeight="1">
      <c r="B3" s="379" t="s">
        <v>1</v>
      </c>
      <c r="C3" s="379"/>
      <c r="D3" s="379"/>
      <c r="E3" s="379"/>
      <c r="F3" s="379"/>
      <c r="G3" s="379"/>
      <c r="H3" s="379"/>
      <c r="I3" s="379"/>
      <c r="J3" s="379"/>
      <c r="K3" s="379"/>
    </row>
    <row r="4" spans="2:38" ht="12.75" customHeight="1">
      <c r="B4" s="133"/>
      <c r="C4" s="133"/>
      <c r="D4" s="133"/>
      <c r="E4" s="133"/>
      <c r="F4" s="133"/>
      <c r="G4" s="133"/>
      <c r="H4" s="133"/>
      <c r="I4" s="133"/>
      <c r="J4" s="133"/>
      <c r="K4" s="133"/>
    </row>
    <row r="5" spans="2:38" ht="13" thickBot="1"/>
    <row r="6" spans="2:38" ht="21" customHeight="1" thickTop="1" thickBot="1">
      <c r="C6" s="200">
        <v>2013</v>
      </c>
      <c r="D6" s="134"/>
      <c r="E6" s="380" t="s">
        <v>101</v>
      </c>
      <c r="F6" s="381"/>
      <c r="G6" s="381"/>
      <c r="H6" s="382"/>
      <c r="J6" s="380" t="s">
        <v>102</v>
      </c>
      <c r="K6" s="381"/>
      <c r="L6" s="381"/>
      <c r="M6" s="381"/>
      <c r="N6" s="382"/>
      <c r="P6" s="383" t="s">
        <v>176</v>
      </c>
      <c r="Q6" s="384"/>
      <c r="R6" s="384"/>
      <c r="S6" s="384"/>
      <c r="T6" s="384"/>
      <c r="U6" s="385"/>
      <c r="W6" s="374" t="s">
        <v>193</v>
      </c>
      <c r="X6" s="375"/>
      <c r="Y6" s="375"/>
      <c r="Z6" s="376"/>
      <c r="AB6" s="374" t="s">
        <v>229</v>
      </c>
      <c r="AC6" s="375"/>
      <c r="AD6" s="375"/>
      <c r="AE6" s="376"/>
      <c r="AG6" s="374" t="s">
        <v>250</v>
      </c>
      <c r="AH6" s="375"/>
      <c r="AI6" s="375"/>
      <c r="AJ6" s="376"/>
    </row>
    <row r="7" spans="2:38" ht="4.5" customHeight="1" thickTop="1" thickBot="1">
      <c r="E7" s="19"/>
      <c r="F7" s="19"/>
      <c r="G7" s="19"/>
      <c r="H7" s="19"/>
      <c r="J7" s="19"/>
      <c r="K7" s="19"/>
    </row>
    <row r="8" spans="2:38" ht="30" customHeight="1" thickTop="1" thickBot="1">
      <c r="C8" s="120">
        <v>41609</v>
      </c>
      <c r="D8" s="119"/>
      <c r="E8" s="213">
        <v>41699</v>
      </c>
      <c r="F8" s="139">
        <v>41791</v>
      </c>
      <c r="G8" s="139">
        <v>41883</v>
      </c>
      <c r="H8" s="139">
        <v>41974</v>
      </c>
      <c r="J8" s="139">
        <v>42064</v>
      </c>
      <c r="K8" s="139">
        <v>42156</v>
      </c>
      <c r="L8" s="139">
        <v>42248</v>
      </c>
      <c r="M8" s="139">
        <v>42339</v>
      </c>
      <c r="N8" s="120" t="s">
        <v>183</v>
      </c>
      <c r="P8" s="139">
        <v>42430</v>
      </c>
      <c r="Q8" s="139">
        <v>42522</v>
      </c>
      <c r="R8" s="139">
        <v>42614</v>
      </c>
      <c r="S8" s="139" t="s">
        <v>213</v>
      </c>
      <c r="T8" s="120">
        <v>42705</v>
      </c>
      <c r="U8" s="120" t="s">
        <v>225</v>
      </c>
      <c r="W8" s="139">
        <v>42795</v>
      </c>
      <c r="X8" s="139">
        <v>42887</v>
      </c>
      <c r="Y8" s="120">
        <v>42979</v>
      </c>
      <c r="Z8" s="120">
        <v>43070</v>
      </c>
      <c r="AB8" s="139">
        <v>43160</v>
      </c>
      <c r="AC8" s="139">
        <v>43252</v>
      </c>
      <c r="AD8" s="120">
        <v>43344</v>
      </c>
      <c r="AE8" s="120">
        <v>43435</v>
      </c>
      <c r="AG8" s="139">
        <v>43525</v>
      </c>
      <c r="AH8" s="139">
        <v>43617</v>
      </c>
      <c r="AI8" s="120">
        <v>43709</v>
      </c>
      <c r="AJ8" s="120">
        <v>43800</v>
      </c>
    </row>
    <row r="9" spans="2:38" ht="3.75" customHeight="1" thickTop="1">
      <c r="J9" s="10"/>
      <c r="K9" s="10"/>
    </row>
    <row r="10" spans="2:38" ht="16.5" customHeight="1">
      <c r="B10" s="12" t="s">
        <v>36</v>
      </c>
      <c r="C10" s="22">
        <v>20409</v>
      </c>
      <c r="D10" s="12"/>
      <c r="E10" s="22">
        <v>44378</v>
      </c>
      <c r="F10" s="22">
        <v>34879</v>
      </c>
      <c r="G10" s="22">
        <v>368419</v>
      </c>
      <c r="H10" s="22">
        <v>165978</v>
      </c>
      <c r="J10" s="22">
        <v>212683</v>
      </c>
      <c r="K10" s="22">
        <v>25622</v>
      </c>
      <c r="L10" s="22">
        <v>399215</v>
      </c>
      <c r="M10" s="22">
        <v>311454</v>
      </c>
      <c r="N10" s="22">
        <v>311454</v>
      </c>
      <c r="P10" s="22">
        <v>145061</v>
      </c>
      <c r="Q10" s="22">
        <v>36458</v>
      </c>
      <c r="R10" s="22">
        <v>165562</v>
      </c>
      <c r="S10" s="22">
        <v>165562</v>
      </c>
      <c r="T10" s="22">
        <v>179358</v>
      </c>
      <c r="U10" s="22">
        <v>180011</v>
      </c>
      <c r="W10" s="22">
        <v>4218</v>
      </c>
      <c r="X10" s="22">
        <v>71637</v>
      </c>
      <c r="Y10" s="116">
        <v>106150</v>
      </c>
      <c r="Z10" s="116">
        <f>312774-13692</f>
        <v>299082</v>
      </c>
      <c r="AB10" s="22">
        <v>79466</v>
      </c>
      <c r="AC10" s="22">
        <v>13861</v>
      </c>
      <c r="AD10" s="116">
        <v>2489</v>
      </c>
      <c r="AE10" s="116">
        <v>4850</v>
      </c>
      <c r="AF10" s="14"/>
      <c r="AG10" s="22">
        <v>7530</v>
      </c>
      <c r="AH10" s="153">
        <v>1810</v>
      </c>
      <c r="AI10" s="153">
        <v>1972</v>
      </c>
      <c r="AJ10" s="153">
        <v>1729</v>
      </c>
      <c r="AK10" s="14"/>
      <c r="AL10" s="14"/>
    </row>
    <row r="11" spans="2:38" ht="16.5" customHeight="1">
      <c r="B11" s="12" t="s">
        <v>83</v>
      </c>
      <c r="C11" s="153">
        <v>2681</v>
      </c>
      <c r="D11" s="12"/>
      <c r="E11" s="22">
        <v>4375</v>
      </c>
      <c r="F11" s="153">
        <v>0</v>
      </c>
      <c r="G11" s="153">
        <v>0</v>
      </c>
      <c r="H11" s="153">
        <v>0</v>
      </c>
      <c r="J11" s="22">
        <v>2696</v>
      </c>
      <c r="K11" s="22">
        <v>1184</v>
      </c>
      <c r="L11" s="22">
        <v>17393</v>
      </c>
      <c r="M11" s="22">
        <v>15940</v>
      </c>
      <c r="N11" s="22">
        <v>15940</v>
      </c>
      <c r="P11" s="153">
        <v>0</v>
      </c>
      <c r="Q11" s="153">
        <v>0</v>
      </c>
      <c r="R11" s="153">
        <v>0</v>
      </c>
      <c r="S11" s="153">
        <v>0</v>
      </c>
      <c r="T11" s="153">
        <v>0</v>
      </c>
      <c r="U11" s="153">
        <v>0</v>
      </c>
      <c r="W11" s="153">
        <v>0</v>
      </c>
      <c r="X11" s="153">
        <v>0</v>
      </c>
      <c r="Y11" s="116">
        <v>0</v>
      </c>
      <c r="Z11" s="116">
        <v>0</v>
      </c>
      <c r="AB11" s="153">
        <v>0</v>
      </c>
      <c r="AC11" s="153">
        <v>0</v>
      </c>
      <c r="AD11" s="116">
        <v>3822</v>
      </c>
      <c r="AE11" s="116">
        <v>2932</v>
      </c>
      <c r="AF11" s="14"/>
      <c r="AG11" s="153">
        <v>0</v>
      </c>
      <c r="AH11" s="153">
        <v>0</v>
      </c>
      <c r="AI11" s="153">
        <v>0</v>
      </c>
      <c r="AJ11" s="153">
        <v>0</v>
      </c>
      <c r="AK11" s="14"/>
      <c r="AL11" s="14"/>
    </row>
    <row r="12" spans="2:38" ht="16.5" customHeight="1">
      <c r="B12" s="12" t="s">
        <v>214</v>
      </c>
      <c r="C12" s="153">
        <v>55478</v>
      </c>
      <c r="D12" s="12"/>
      <c r="E12" s="153">
        <v>60316</v>
      </c>
      <c r="F12" s="153">
        <v>0</v>
      </c>
      <c r="G12" s="153">
        <v>30065</v>
      </c>
      <c r="H12" s="153">
        <v>15165</v>
      </c>
      <c r="J12" s="153">
        <v>0</v>
      </c>
      <c r="K12" s="153">
        <v>0</v>
      </c>
      <c r="L12" s="153">
        <v>15000</v>
      </c>
      <c r="M12" s="153">
        <v>0</v>
      </c>
      <c r="N12" s="153" t="s">
        <v>184</v>
      </c>
      <c r="P12" s="153">
        <v>0</v>
      </c>
      <c r="Q12" s="153">
        <v>2129</v>
      </c>
      <c r="R12" s="153">
        <v>0</v>
      </c>
      <c r="S12" s="153">
        <v>0</v>
      </c>
      <c r="T12" s="153">
        <v>0</v>
      </c>
      <c r="U12" s="153">
        <v>0</v>
      </c>
      <c r="W12" s="153">
        <v>0</v>
      </c>
      <c r="X12" s="153">
        <v>0</v>
      </c>
      <c r="Y12" s="116">
        <v>162476</v>
      </c>
      <c r="Z12" s="116">
        <v>13692</v>
      </c>
      <c r="AB12" s="153">
        <v>10206</v>
      </c>
      <c r="AC12" s="153">
        <v>0</v>
      </c>
      <c r="AD12" s="116">
        <v>0</v>
      </c>
      <c r="AE12" s="116">
        <v>0</v>
      </c>
      <c r="AF12" s="14"/>
      <c r="AG12" s="153"/>
      <c r="AH12" s="153">
        <v>0</v>
      </c>
      <c r="AI12" s="153">
        <v>0</v>
      </c>
      <c r="AJ12" s="153">
        <v>0</v>
      </c>
      <c r="AK12" s="14"/>
      <c r="AL12" s="14"/>
    </row>
    <row r="13" spans="2:38" ht="25">
      <c r="B13" s="12" t="s">
        <v>149</v>
      </c>
      <c r="C13" s="22">
        <v>208189</v>
      </c>
      <c r="D13" s="12"/>
      <c r="E13" s="22">
        <v>458659</v>
      </c>
      <c r="F13" s="22">
        <v>379799</v>
      </c>
      <c r="G13" s="22">
        <f>277940+1</f>
        <v>277941</v>
      </c>
      <c r="H13" s="22">
        <v>210989</v>
      </c>
      <c r="J13" s="22">
        <v>447252</v>
      </c>
      <c r="K13" s="22">
        <v>362123</v>
      </c>
      <c r="L13" s="22">
        <v>319542</v>
      </c>
      <c r="M13" s="22">
        <v>231844</v>
      </c>
      <c r="N13" s="22">
        <v>231844</v>
      </c>
      <c r="P13" s="22">
        <v>435227</v>
      </c>
      <c r="Q13" s="22">
        <v>318151</v>
      </c>
      <c r="R13" s="22">
        <v>261026</v>
      </c>
      <c r="S13" s="22">
        <v>260997</v>
      </c>
      <c r="T13" s="22">
        <v>266766</v>
      </c>
      <c r="U13" s="22">
        <v>271659</v>
      </c>
      <c r="W13" s="22">
        <v>547860</v>
      </c>
      <c r="X13" s="22">
        <v>384576</v>
      </c>
      <c r="Y13" s="116">
        <v>387617</v>
      </c>
      <c r="Z13" s="116">
        <v>198433</v>
      </c>
      <c r="AB13" s="22">
        <v>567510</v>
      </c>
      <c r="AC13" s="22">
        <v>467637</v>
      </c>
      <c r="AD13" s="116">
        <v>234105</v>
      </c>
      <c r="AE13" s="116">
        <v>172699</v>
      </c>
      <c r="AF13" s="14"/>
      <c r="AG13" s="22">
        <v>498101</v>
      </c>
      <c r="AH13" s="153">
        <v>365488</v>
      </c>
      <c r="AI13" s="153">
        <v>283086</v>
      </c>
      <c r="AJ13" s="153">
        <v>254041</v>
      </c>
      <c r="AK13" s="14"/>
      <c r="AL13" s="14"/>
    </row>
    <row r="14" spans="2:38" ht="16.5" customHeight="1">
      <c r="B14" s="12" t="s">
        <v>30</v>
      </c>
      <c r="C14" s="22">
        <v>52011</v>
      </c>
      <c r="D14" s="12"/>
      <c r="E14" s="22">
        <v>27415</v>
      </c>
      <c r="F14" s="22">
        <v>29057</v>
      </c>
      <c r="G14" s="22">
        <v>30903</v>
      </c>
      <c r="H14" s="22">
        <v>17729</v>
      </c>
      <c r="J14" s="22">
        <v>37032</v>
      </c>
      <c r="K14" s="22">
        <v>43090</v>
      </c>
      <c r="L14" s="22">
        <v>46116</v>
      </c>
      <c r="M14" s="22">
        <v>9448</v>
      </c>
      <c r="N14" s="22">
        <v>9448</v>
      </c>
      <c r="P14" s="22">
        <v>5844</v>
      </c>
      <c r="Q14" s="22">
        <v>92560</v>
      </c>
      <c r="R14" s="22">
        <v>102371</v>
      </c>
      <c r="S14" s="22">
        <v>96864</v>
      </c>
      <c r="T14" s="22">
        <v>81488</v>
      </c>
      <c r="U14" s="22">
        <v>81818</v>
      </c>
      <c r="W14" s="22">
        <v>130304</v>
      </c>
      <c r="X14" s="22">
        <v>128656</v>
      </c>
      <c r="Y14" s="116">
        <v>119616</v>
      </c>
      <c r="Z14" s="116">
        <v>164685</v>
      </c>
      <c r="AB14" s="22">
        <v>164877</v>
      </c>
      <c r="AC14" s="22">
        <v>165035</v>
      </c>
      <c r="AD14" s="116">
        <v>165170</v>
      </c>
      <c r="AE14" s="118">
        <v>172868</v>
      </c>
      <c r="AF14" s="14"/>
      <c r="AG14" s="22">
        <v>167740</v>
      </c>
      <c r="AH14" s="153">
        <v>167976</v>
      </c>
      <c r="AI14" s="153">
        <v>168092</v>
      </c>
      <c r="AJ14" s="153">
        <v>169602</v>
      </c>
      <c r="AK14" s="14"/>
      <c r="AL14" s="14"/>
    </row>
    <row r="15" spans="2:38" ht="16.5" customHeight="1">
      <c r="B15" s="12" t="s">
        <v>131</v>
      </c>
      <c r="C15" s="153">
        <v>0</v>
      </c>
      <c r="D15" s="12"/>
      <c r="E15" s="153">
        <v>0</v>
      </c>
      <c r="F15" s="153">
        <v>0</v>
      </c>
      <c r="G15" s="153">
        <v>0</v>
      </c>
      <c r="H15" s="153">
        <v>0</v>
      </c>
      <c r="J15" s="153">
        <v>0</v>
      </c>
      <c r="K15" s="153">
        <v>0</v>
      </c>
      <c r="L15" s="153">
        <v>0</v>
      </c>
      <c r="M15" s="153">
        <v>0</v>
      </c>
      <c r="N15" s="153">
        <v>0</v>
      </c>
      <c r="P15" s="153">
        <v>0</v>
      </c>
      <c r="Q15" s="153">
        <v>0</v>
      </c>
      <c r="R15" s="153">
        <v>0</v>
      </c>
      <c r="S15" s="153">
        <v>0</v>
      </c>
      <c r="T15" s="153">
        <v>0</v>
      </c>
      <c r="U15" s="153">
        <v>0</v>
      </c>
      <c r="W15" s="153">
        <v>0</v>
      </c>
      <c r="X15" s="194">
        <v>0</v>
      </c>
      <c r="Y15" s="116">
        <v>0</v>
      </c>
      <c r="Z15" s="116">
        <v>0</v>
      </c>
      <c r="AB15" s="153">
        <v>0</v>
      </c>
      <c r="AC15" s="194">
        <v>0</v>
      </c>
      <c r="AD15" s="116">
        <v>0</v>
      </c>
      <c r="AE15" s="116">
        <v>0</v>
      </c>
      <c r="AF15" s="14"/>
      <c r="AG15" s="153"/>
      <c r="AH15" s="153">
        <v>0</v>
      </c>
      <c r="AI15" s="153"/>
      <c r="AJ15" s="153"/>
      <c r="AK15" s="14"/>
      <c r="AL15" s="14"/>
    </row>
    <row r="16" spans="2:38" ht="25">
      <c r="B16" s="218" t="s">
        <v>157</v>
      </c>
      <c r="C16" s="22">
        <v>1623</v>
      </c>
      <c r="D16" s="12"/>
      <c r="E16" s="22">
        <v>22345</v>
      </c>
      <c r="F16" s="22">
        <v>2933</v>
      </c>
      <c r="G16" s="22">
        <v>2785</v>
      </c>
      <c r="H16" s="22">
        <v>2644</v>
      </c>
      <c r="J16" s="22">
        <v>61586</v>
      </c>
      <c r="K16" s="22">
        <v>1750</v>
      </c>
      <c r="L16" s="22">
        <v>2833</v>
      </c>
      <c r="M16" s="22">
        <v>1050</v>
      </c>
      <c r="N16" s="22">
        <v>1050</v>
      </c>
      <c r="P16" s="22">
        <v>2211</v>
      </c>
      <c r="Q16" s="22">
        <v>8367</v>
      </c>
      <c r="R16" s="22">
        <v>6699</v>
      </c>
      <c r="S16" s="22">
        <v>6728</v>
      </c>
      <c r="T16" s="22">
        <v>6660</v>
      </c>
      <c r="U16" s="22">
        <v>6667</v>
      </c>
      <c r="W16" s="22">
        <v>6384</v>
      </c>
      <c r="X16" s="22">
        <v>5696</v>
      </c>
      <c r="Y16" s="116">
        <v>6719</v>
      </c>
      <c r="Z16" s="116">
        <v>3660</v>
      </c>
      <c r="AB16" s="22">
        <v>3349</v>
      </c>
      <c r="AC16" s="22">
        <v>2369</v>
      </c>
      <c r="AD16" s="116">
        <v>3887</v>
      </c>
      <c r="AE16" s="116">
        <v>1656</v>
      </c>
      <c r="AF16" s="14"/>
      <c r="AG16" s="22">
        <v>2449</v>
      </c>
      <c r="AH16" s="153">
        <v>2538</v>
      </c>
      <c r="AI16" s="153">
        <v>2783</v>
      </c>
      <c r="AJ16" s="153">
        <v>1189</v>
      </c>
      <c r="AK16" s="14"/>
      <c r="AL16" s="14"/>
    </row>
    <row r="17" spans="2:38" ht="17.25" customHeight="1">
      <c r="B17" s="12" t="s">
        <v>60</v>
      </c>
      <c r="C17" s="153">
        <v>7</v>
      </c>
      <c r="D17" s="12"/>
      <c r="E17" s="22">
        <v>27</v>
      </c>
      <c r="F17" s="22">
        <v>27</v>
      </c>
      <c r="G17" s="22">
        <v>27</v>
      </c>
      <c r="H17" s="153">
        <v>0</v>
      </c>
      <c r="J17" s="22">
        <v>21</v>
      </c>
      <c r="K17" s="22">
        <v>21</v>
      </c>
      <c r="L17" s="22">
        <v>21</v>
      </c>
      <c r="M17" s="22">
        <v>94740</v>
      </c>
      <c r="N17" s="153">
        <v>0</v>
      </c>
      <c r="P17" s="22">
        <v>94740</v>
      </c>
      <c r="Q17" s="22">
        <v>94740</v>
      </c>
      <c r="R17" s="22">
        <v>94740</v>
      </c>
      <c r="S17" s="194">
        <v>0</v>
      </c>
      <c r="T17" s="153">
        <v>0</v>
      </c>
      <c r="U17" s="153">
        <v>140</v>
      </c>
      <c r="W17" s="153">
        <v>0</v>
      </c>
      <c r="X17" s="153">
        <v>0</v>
      </c>
      <c r="Y17" s="116">
        <v>0</v>
      </c>
      <c r="Z17" s="116">
        <v>0</v>
      </c>
      <c r="AB17" s="153">
        <v>0</v>
      </c>
      <c r="AC17" s="153">
        <v>0</v>
      </c>
      <c r="AD17" s="116">
        <v>0</v>
      </c>
      <c r="AE17" s="116">
        <v>0</v>
      </c>
      <c r="AF17" s="14"/>
      <c r="AG17" s="153">
        <v>0</v>
      </c>
      <c r="AH17" s="153">
        <v>0</v>
      </c>
      <c r="AI17" s="153">
        <v>0</v>
      </c>
      <c r="AJ17" s="153">
        <v>1524</v>
      </c>
      <c r="AK17" s="14"/>
      <c r="AL17" s="14"/>
    </row>
    <row r="18" spans="2:38">
      <c r="B18" s="12"/>
      <c r="C18" s="22"/>
      <c r="D18" s="12"/>
      <c r="E18" s="22"/>
      <c r="F18" s="22"/>
      <c r="G18" s="22"/>
      <c r="H18" s="22"/>
      <c r="J18" s="22"/>
      <c r="K18" s="22"/>
      <c r="L18" s="22"/>
      <c r="M18" s="22"/>
      <c r="N18" s="22"/>
      <c r="P18" s="22"/>
      <c r="Q18" s="22"/>
      <c r="R18" s="22"/>
      <c r="S18" s="22"/>
      <c r="T18" s="22"/>
      <c r="U18" s="22"/>
      <c r="W18" s="22"/>
      <c r="X18" s="22"/>
      <c r="AB18" s="22"/>
      <c r="AC18" s="22"/>
      <c r="AF18" s="14"/>
      <c r="AG18" s="22"/>
      <c r="AH18" s="22"/>
      <c r="AK18" s="14"/>
      <c r="AL18" s="14"/>
    </row>
    <row r="19" spans="2:38" ht="16.5" customHeight="1">
      <c r="B19" s="24" t="s">
        <v>51</v>
      </c>
      <c r="C19" s="25">
        <f>+SUM(C10:C17)</f>
        <v>340398</v>
      </c>
      <c r="D19" s="24"/>
      <c r="E19" s="25">
        <f>+SUM(E10:E17)</f>
        <v>617515</v>
      </c>
      <c r="F19" s="25">
        <f>+SUM(F10:F17)</f>
        <v>446695</v>
      </c>
      <c r="G19" s="25">
        <f>+SUM(G10:G17)</f>
        <v>710140</v>
      </c>
      <c r="H19" s="25">
        <f>+SUM(H10:H17)</f>
        <v>412505</v>
      </c>
      <c r="I19" s="26"/>
      <c r="J19" s="25">
        <f>+SUM(J10:J17)</f>
        <v>761270</v>
      </c>
      <c r="K19" s="25">
        <f>+SUM(K10:K17)</f>
        <v>433790</v>
      </c>
      <c r="L19" s="25">
        <f>+SUM(L10:L17)</f>
        <v>800120</v>
      </c>
      <c r="M19" s="25">
        <f>+SUM(M10:M17)</f>
        <v>664476</v>
      </c>
      <c r="N19" s="25">
        <f>+SUM(N10:N17)</f>
        <v>569736</v>
      </c>
      <c r="P19" s="25">
        <f t="shared" ref="P19:U19" si="0">+SUM(P10:P17)</f>
        <v>683083</v>
      </c>
      <c r="Q19" s="25">
        <f t="shared" si="0"/>
        <v>552405</v>
      </c>
      <c r="R19" s="25">
        <f t="shared" si="0"/>
        <v>630398</v>
      </c>
      <c r="S19" s="25">
        <f t="shared" si="0"/>
        <v>530151</v>
      </c>
      <c r="T19" s="25">
        <f t="shared" si="0"/>
        <v>534272</v>
      </c>
      <c r="U19" s="25">
        <f t="shared" si="0"/>
        <v>540295</v>
      </c>
      <c r="W19" s="25">
        <f>+SUM(W10:W17)</f>
        <v>688766</v>
      </c>
      <c r="X19" s="25">
        <f>+SUM(X10:X17)</f>
        <v>590565</v>
      </c>
      <c r="Y19" s="25">
        <f>+SUM(Y10:Y17)</f>
        <v>782578</v>
      </c>
      <c r="Z19" s="25">
        <f>+SUM(Z10:Z17)</f>
        <v>679552</v>
      </c>
      <c r="AB19" s="25">
        <f>+SUM(AB10:AB17)</f>
        <v>825408</v>
      </c>
      <c r="AC19" s="25">
        <f>+SUM(AC10:AC17)</f>
        <v>648902</v>
      </c>
      <c r="AD19" s="25">
        <f>+SUM(AD10:AD17)</f>
        <v>409473</v>
      </c>
      <c r="AE19" s="25">
        <f>+SUM(AE10:AE17)</f>
        <v>355005</v>
      </c>
      <c r="AF19" s="14"/>
      <c r="AG19" s="25">
        <f>+SUM(AG10:AG17)</f>
        <v>675820</v>
      </c>
      <c r="AH19" s="25">
        <f>+SUM(AH10:AH17)</f>
        <v>537812</v>
      </c>
      <c r="AI19" s="25">
        <f>+SUM(AI10:AI17)</f>
        <v>455933</v>
      </c>
      <c r="AJ19" s="25">
        <f>+SUM(AJ10:AJ17)</f>
        <v>428085</v>
      </c>
      <c r="AK19" s="14"/>
      <c r="AL19" s="14"/>
    </row>
    <row r="20" spans="2:38" ht="4.5" customHeight="1">
      <c r="C20" s="22"/>
      <c r="E20" s="22"/>
      <c r="F20" s="22"/>
      <c r="G20" s="22"/>
      <c r="H20" s="22"/>
      <c r="J20" s="22"/>
      <c r="K20" s="22"/>
      <c r="L20" s="22"/>
      <c r="M20" s="22"/>
      <c r="N20" s="22"/>
      <c r="P20" s="22"/>
      <c r="Q20" s="22"/>
      <c r="R20" s="22"/>
      <c r="S20" s="22"/>
      <c r="T20" s="22"/>
      <c r="U20" s="22"/>
      <c r="W20" s="22"/>
      <c r="AB20" s="22"/>
      <c r="AG20" s="22"/>
      <c r="AK20" s="14"/>
      <c r="AL20" s="14"/>
    </row>
    <row r="21" spans="2:38" ht="15.75" customHeight="1">
      <c r="B21" s="15" t="s">
        <v>31</v>
      </c>
      <c r="C21" s="22">
        <f>11939487-1</f>
        <v>11939486</v>
      </c>
      <c r="D21" s="15"/>
      <c r="E21" s="22">
        <v>12002319</v>
      </c>
      <c r="F21" s="22">
        <v>12127161</v>
      </c>
      <c r="G21" s="22">
        <v>12245131</v>
      </c>
      <c r="H21" s="22">
        <v>12613801</v>
      </c>
      <c r="J21" s="22">
        <v>11850219</v>
      </c>
      <c r="K21" s="22">
        <v>13063539</v>
      </c>
      <c r="L21" s="22">
        <v>13355749</v>
      </c>
      <c r="M21" s="22">
        <f>13604214</f>
        <v>13604214</v>
      </c>
      <c r="N21" s="22">
        <v>13628417</v>
      </c>
      <c r="P21" s="22">
        <v>13638225</v>
      </c>
      <c r="Q21" s="22">
        <v>13649185</v>
      </c>
      <c r="R21" s="22">
        <v>13489078</v>
      </c>
      <c r="S21" s="22">
        <v>13486342</v>
      </c>
      <c r="T21" s="22">
        <v>14515263</v>
      </c>
      <c r="U21" s="22">
        <v>14377651</v>
      </c>
      <c r="W21" s="22">
        <v>14669083</v>
      </c>
      <c r="X21" s="22">
        <v>14978206</v>
      </c>
      <c r="Y21" s="22">
        <v>14737345</v>
      </c>
      <c r="Z21" s="22">
        <v>14687131</v>
      </c>
      <c r="AB21" s="22">
        <v>14606363</v>
      </c>
      <c r="AC21" s="22">
        <v>14901185</v>
      </c>
      <c r="AD21" s="22">
        <v>15017073</v>
      </c>
      <c r="AE21" s="22">
        <v>15219881</v>
      </c>
      <c r="AF21" s="14"/>
      <c r="AG21" s="22">
        <v>14896138</v>
      </c>
      <c r="AH21" s="22">
        <v>14911228</v>
      </c>
      <c r="AI21" s="22">
        <v>15599154</v>
      </c>
      <c r="AJ21" s="22">
        <v>15364426</v>
      </c>
      <c r="AK21" s="14"/>
      <c r="AL21" s="14"/>
    </row>
    <row r="22" spans="2:38" ht="25">
      <c r="B22" s="12" t="s">
        <v>149</v>
      </c>
      <c r="C22" s="22">
        <v>5113</v>
      </c>
      <c r="D22" s="12"/>
      <c r="E22" s="22">
        <v>5146</v>
      </c>
      <c r="F22" s="22">
        <f>5475+1</f>
        <v>5476</v>
      </c>
      <c r="G22" s="22">
        <v>5635</v>
      </c>
      <c r="H22" s="22">
        <v>6134</v>
      </c>
      <c r="J22" s="22">
        <v>2673</v>
      </c>
      <c r="K22" s="22">
        <v>5856</v>
      </c>
      <c r="L22" s="22">
        <v>5261</v>
      </c>
      <c r="M22" s="22">
        <v>3382</v>
      </c>
      <c r="N22" s="22">
        <v>3382</v>
      </c>
      <c r="P22" s="22">
        <v>3660</v>
      </c>
      <c r="Q22" s="22">
        <v>3998</v>
      </c>
      <c r="R22" s="22">
        <v>4041</v>
      </c>
      <c r="S22" s="22">
        <v>4041</v>
      </c>
      <c r="T22" s="22">
        <v>4166</v>
      </c>
      <c r="U22" s="22">
        <v>4166</v>
      </c>
      <c r="W22" s="22">
        <v>35178</v>
      </c>
      <c r="X22" s="22">
        <v>22999</v>
      </c>
      <c r="Y22" s="22">
        <v>13550</v>
      </c>
      <c r="Z22" s="22">
        <v>11965</v>
      </c>
      <c r="AB22" s="22">
        <v>11882</v>
      </c>
      <c r="AC22" s="22">
        <v>7891</v>
      </c>
      <c r="AD22" s="22">
        <v>103711</v>
      </c>
      <c r="AE22" s="22">
        <v>107903</v>
      </c>
      <c r="AF22" s="14"/>
      <c r="AG22" s="22">
        <v>102038</v>
      </c>
      <c r="AH22" s="22">
        <v>98277</v>
      </c>
      <c r="AI22" s="22">
        <v>94671</v>
      </c>
      <c r="AJ22" s="22">
        <v>96511</v>
      </c>
      <c r="AK22" s="14"/>
      <c r="AL22" s="14"/>
    </row>
    <row r="23" spans="2:38" ht="15.75" customHeight="1">
      <c r="B23" s="15" t="s">
        <v>30</v>
      </c>
      <c r="C23" s="153">
        <v>0</v>
      </c>
      <c r="D23" s="15"/>
      <c r="E23" s="153">
        <v>0</v>
      </c>
      <c r="F23" s="153">
        <v>0</v>
      </c>
      <c r="G23" s="153">
        <v>0</v>
      </c>
      <c r="H23" s="153">
        <v>29508</v>
      </c>
      <c r="J23" s="153">
        <v>0</v>
      </c>
      <c r="K23" s="153">
        <v>0</v>
      </c>
      <c r="L23" s="153">
        <v>0</v>
      </c>
      <c r="M23" s="153">
        <v>24146</v>
      </c>
      <c r="N23" s="153">
        <v>24146</v>
      </c>
      <c r="P23" s="153">
        <v>26594</v>
      </c>
      <c r="Q23" s="153">
        <v>26594</v>
      </c>
      <c r="R23" s="153">
        <v>20659</v>
      </c>
      <c r="S23" s="153">
        <v>20659</v>
      </c>
      <c r="T23" s="153">
        <v>42583</v>
      </c>
      <c r="U23" s="153">
        <v>42583</v>
      </c>
      <c r="W23" s="153">
        <v>44913</v>
      </c>
      <c r="X23" s="22">
        <v>46887</v>
      </c>
      <c r="Y23" s="22">
        <v>46720</v>
      </c>
      <c r="Z23" s="22">
        <v>47275</v>
      </c>
      <c r="AB23" s="153">
        <v>47952</v>
      </c>
      <c r="AC23" s="22">
        <v>49145</v>
      </c>
      <c r="AD23" s="22">
        <v>50734</v>
      </c>
      <c r="AE23" s="22">
        <v>36747</v>
      </c>
      <c r="AF23" s="14"/>
      <c r="AG23" s="153">
        <v>36959</v>
      </c>
      <c r="AH23" s="22">
        <v>37030</v>
      </c>
      <c r="AI23" s="22">
        <v>36065</v>
      </c>
      <c r="AJ23" s="22">
        <v>37204</v>
      </c>
      <c r="AK23" s="14"/>
      <c r="AL23" s="14"/>
    </row>
    <row r="24" spans="2:38" ht="15.75" customHeight="1">
      <c r="B24" s="15" t="s">
        <v>251</v>
      </c>
      <c r="C24" s="153"/>
      <c r="D24" s="15"/>
      <c r="E24" s="153"/>
      <c r="F24" s="153"/>
      <c r="G24" s="153"/>
      <c r="H24" s="153"/>
      <c r="J24" s="153"/>
      <c r="K24" s="153"/>
      <c r="L24" s="153"/>
      <c r="M24" s="153"/>
      <c r="N24" s="153"/>
      <c r="P24" s="153"/>
      <c r="Q24" s="153"/>
      <c r="R24" s="153"/>
      <c r="S24" s="153"/>
      <c r="T24" s="153"/>
      <c r="U24" s="153"/>
      <c r="W24" s="153"/>
      <c r="X24" s="22"/>
      <c r="Y24" s="22"/>
      <c r="Z24" s="22"/>
      <c r="AB24" s="153"/>
      <c r="AC24" s="22"/>
      <c r="AD24" s="22"/>
      <c r="AE24" s="22"/>
      <c r="AF24" s="14"/>
      <c r="AG24" s="207">
        <v>12421</v>
      </c>
      <c r="AH24" s="22">
        <v>13017</v>
      </c>
      <c r="AI24" s="22">
        <v>13296</v>
      </c>
      <c r="AJ24" s="22">
        <v>12817</v>
      </c>
      <c r="AK24" s="14"/>
      <c r="AL24" s="14"/>
    </row>
    <row r="25" spans="2:38" ht="15.75" customHeight="1">
      <c r="B25" s="15" t="s">
        <v>37</v>
      </c>
      <c r="C25" s="22">
        <v>5116</v>
      </c>
      <c r="D25" s="15"/>
      <c r="E25" s="22">
        <v>7515</v>
      </c>
      <c r="F25" s="22">
        <v>10609</v>
      </c>
      <c r="G25" s="22">
        <v>10728</v>
      </c>
      <c r="H25" s="22">
        <v>8788</v>
      </c>
      <c r="J25" s="22">
        <v>8295</v>
      </c>
      <c r="K25" s="22">
        <v>7849</v>
      </c>
      <c r="L25" s="22">
        <v>7403</v>
      </c>
      <c r="M25" s="22">
        <v>8489</v>
      </c>
      <c r="N25" s="22">
        <v>8489</v>
      </c>
      <c r="P25" s="22">
        <v>7842</v>
      </c>
      <c r="Q25" s="22">
        <v>7196</v>
      </c>
      <c r="R25" s="22">
        <v>6565</v>
      </c>
      <c r="S25" s="22">
        <v>6565</v>
      </c>
      <c r="T25" s="22">
        <v>5917</v>
      </c>
      <c r="U25" s="22">
        <v>5974</v>
      </c>
      <c r="W25" s="22">
        <v>5404</v>
      </c>
      <c r="X25" s="22">
        <v>5014</v>
      </c>
      <c r="Y25" s="22">
        <v>4991</v>
      </c>
      <c r="Z25" s="22">
        <v>3329</v>
      </c>
      <c r="AB25" s="22">
        <v>2680</v>
      </c>
      <c r="AC25" s="22">
        <v>2032</v>
      </c>
      <c r="AD25" s="22">
        <v>1388</v>
      </c>
      <c r="AE25" s="22">
        <v>119633</v>
      </c>
      <c r="AF25" s="14"/>
      <c r="AG25" s="22">
        <v>116349</v>
      </c>
      <c r="AH25" s="22">
        <v>113113</v>
      </c>
      <c r="AI25" s="22">
        <v>109880</v>
      </c>
      <c r="AJ25" s="22">
        <v>107005</v>
      </c>
      <c r="AK25" s="14"/>
      <c r="AL25" s="14"/>
    </row>
    <row r="26" spans="2:38" ht="15.75" customHeight="1">
      <c r="B26" s="15" t="s">
        <v>53</v>
      </c>
      <c r="C26" s="22">
        <v>12065</v>
      </c>
      <c r="D26" s="15"/>
      <c r="E26" s="22">
        <v>13531</v>
      </c>
      <c r="F26" s="22">
        <v>75787</v>
      </c>
      <c r="G26" s="22">
        <v>102042</v>
      </c>
      <c r="H26" s="22">
        <v>19238</v>
      </c>
      <c r="J26" s="22">
        <v>80565</v>
      </c>
      <c r="K26" s="22">
        <v>212732</v>
      </c>
      <c r="L26" s="22">
        <v>95596</v>
      </c>
      <c r="M26" s="22">
        <v>82850</v>
      </c>
      <c r="N26" s="22">
        <v>82850</v>
      </c>
      <c r="P26" s="22">
        <v>83148</v>
      </c>
      <c r="Q26" s="22">
        <v>83621</v>
      </c>
      <c r="R26" s="22">
        <v>86502</v>
      </c>
      <c r="S26" s="22">
        <v>86502</v>
      </c>
      <c r="T26" s="22">
        <v>25551</v>
      </c>
      <c r="U26" s="22">
        <v>25901</v>
      </c>
      <c r="W26" s="22">
        <v>27243</v>
      </c>
      <c r="X26" s="22">
        <v>26267</v>
      </c>
      <c r="Y26" s="22">
        <v>10572</v>
      </c>
      <c r="Z26" s="22">
        <v>10723</v>
      </c>
      <c r="AB26" s="22">
        <v>10516</v>
      </c>
      <c r="AC26" s="22">
        <v>2446</v>
      </c>
      <c r="AD26" s="22">
        <v>2224</v>
      </c>
      <c r="AE26" s="22">
        <v>2022</v>
      </c>
      <c r="AF26" s="14"/>
      <c r="AG26" s="22">
        <v>1849</v>
      </c>
      <c r="AH26" s="22">
        <v>1615</v>
      </c>
      <c r="AI26" s="22">
        <v>1449</v>
      </c>
      <c r="AJ26" s="22">
        <v>1452</v>
      </c>
      <c r="AK26" s="14"/>
      <c r="AL26" s="14"/>
    </row>
    <row r="27" spans="2:38" ht="15.75" customHeight="1">
      <c r="B27" s="15" t="s">
        <v>38</v>
      </c>
      <c r="C27" s="22">
        <v>2040643</v>
      </c>
      <c r="D27" s="15"/>
      <c r="E27" s="22">
        <v>2208481</v>
      </c>
      <c r="F27" s="22">
        <v>2208796</v>
      </c>
      <c r="G27" s="22">
        <v>2250911</v>
      </c>
      <c r="H27" s="22">
        <v>2122462</v>
      </c>
      <c r="J27" s="22">
        <v>2249142</v>
      </c>
      <c r="K27" s="22">
        <v>2247758</v>
      </c>
      <c r="L27" s="22">
        <v>2202024</v>
      </c>
      <c r="M27" s="22">
        <v>1781868</v>
      </c>
      <c r="N27" s="22">
        <v>2010817</v>
      </c>
      <c r="P27" s="22">
        <v>1767538</v>
      </c>
      <c r="Q27" s="22">
        <v>1682706</v>
      </c>
      <c r="R27" s="22">
        <v>1682704</v>
      </c>
      <c r="S27" s="22">
        <v>1917370</v>
      </c>
      <c r="T27" s="22">
        <v>1867447</v>
      </c>
      <c r="U27" s="22">
        <f>1867447+219454</f>
        <v>2086901</v>
      </c>
      <c r="W27" s="22">
        <v>1818947</v>
      </c>
      <c r="X27" s="22">
        <v>1799146</v>
      </c>
      <c r="Y27" s="22">
        <v>1908505</v>
      </c>
      <c r="Z27" s="22">
        <v>2083575</v>
      </c>
      <c r="AB27" s="22">
        <v>2093232</v>
      </c>
      <c r="AC27" s="22">
        <v>2100841</v>
      </c>
      <c r="AD27" s="22">
        <v>2116300</v>
      </c>
      <c r="AE27" s="22">
        <v>2105213</v>
      </c>
      <c r="AF27" s="14"/>
      <c r="AG27" s="22">
        <v>2119416</v>
      </c>
      <c r="AH27" s="22">
        <v>2128858</v>
      </c>
      <c r="AI27" s="22">
        <v>2136943</v>
      </c>
      <c r="AJ27" s="22">
        <v>2108346</v>
      </c>
      <c r="AK27" s="14"/>
      <c r="AL27" s="14"/>
    </row>
    <row r="28" spans="2:38" ht="15.75" customHeight="1">
      <c r="B28" s="15" t="s">
        <v>135</v>
      </c>
      <c r="C28" s="153">
        <v>0</v>
      </c>
      <c r="D28" s="15"/>
      <c r="E28" s="153">
        <v>0</v>
      </c>
      <c r="F28" s="153">
        <v>0</v>
      </c>
      <c r="G28" s="153">
        <v>0</v>
      </c>
      <c r="H28" s="153">
        <v>0</v>
      </c>
      <c r="J28" s="153">
        <v>0</v>
      </c>
      <c r="K28" s="153">
        <v>0</v>
      </c>
      <c r="L28" s="153">
        <v>0</v>
      </c>
      <c r="M28" s="153">
        <v>0</v>
      </c>
      <c r="N28" s="153">
        <v>0</v>
      </c>
      <c r="P28" s="153">
        <v>774</v>
      </c>
      <c r="Q28" s="153">
        <v>0</v>
      </c>
      <c r="R28" s="153">
        <v>0</v>
      </c>
      <c r="S28" s="153">
        <v>0</v>
      </c>
      <c r="T28" s="153">
        <v>0</v>
      </c>
      <c r="U28" s="153">
        <v>0</v>
      </c>
      <c r="W28" s="153">
        <v>0</v>
      </c>
      <c r="X28" s="153">
        <v>0</v>
      </c>
      <c r="Y28" s="153">
        <v>0</v>
      </c>
      <c r="Z28" s="153">
        <v>0</v>
      </c>
      <c r="AB28" s="153">
        <v>0</v>
      </c>
      <c r="AC28" s="153">
        <v>0</v>
      </c>
      <c r="AD28" s="153">
        <v>0</v>
      </c>
      <c r="AE28" s="153">
        <v>0</v>
      </c>
      <c r="AF28" s="14"/>
      <c r="AG28" s="153">
        <v>0</v>
      </c>
      <c r="AH28" s="153">
        <v>0</v>
      </c>
      <c r="AI28" s="153">
        <v>0</v>
      </c>
      <c r="AJ28" s="153">
        <v>0</v>
      </c>
      <c r="AK28" s="14"/>
      <c r="AL28" s="14"/>
    </row>
    <row r="29" spans="2:38" ht="15.75" customHeight="1">
      <c r="B29" s="15" t="s">
        <v>131</v>
      </c>
      <c r="C29" s="153">
        <v>0</v>
      </c>
      <c r="D29" s="15"/>
      <c r="E29" s="153">
        <v>0</v>
      </c>
      <c r="F29" s="153">
        <v>0</v>
      </c>
      <c r="G29" s="153">
        <v>0</v>
      </c>
      <c r="H29" s="153">
        <v>0</v>
      </c>
      <c r="J29" s="153">
        <v>0</v>
      </c>
      <c r="K29" s="153">
        <v>0</v>
      </c>
      <c r="L29" s="153">
        <v>0</v>
      </c>
      <c r="M29" s="153">
        <v>0</v>
      </c>
      <c r="N29" s="153">
        <v>0</v>
      </c>
      <c r="P29" s="153">
        <v>0</v>
      </c>
      <c r="Q29" s="153">
        <v>0</v>
      </c>
      <c r="R29" s="153">
        <v>0</v>
      </c>
      <c r="S29" s="153">
        <v>0</v>
      </c>
      <c r="T29" s="153">
        <v>0</v>
      </c>
      <c r="U29" s="153">
        <v>0</v>
      </c>
      <c r="W29" s="153">
        <v>0</v>
      </c>
      <c r="X29" s="153">
        <v>0</v>
      </c>
      <c r="Y29" s="153">
        <v>0</v>
      </c>
      <c r="Z29" s="153">
        <v>0</v>
      </c>
      <c r="AB29" s="153">
        <v>0</v>
      </c>
      <c r="AC29" s="153">
        <v>0</v>
      </c>
      <c r="AD29" s="153">
        <v>0</v>
      </c>
      <c r="AE29" s="153">
        <v>0</v>
      </c>
      <c r="AF29" s="14"/>
      <c r="AG29" s="153">
        <v>0</v>
      </c>
      <c r="AH29" s="153">
        <v>0</v>
      </c>
      <c r="AI29" s="153">
        <v>0</v>
      </c>
      <c r="AJ29" s="153">
        <v>0</v>
      </c>
      <c r="AK29" s="14"/>
      <c r="AL29" s="14"/>
    </row>
    <row r="30" spans="2:38" ht="15.75" customHeight="1">
      <c r="B30" s="15" t="s">
        <v>136</v>
      </c>
      <c r="C30" s="153">
        <v>0</v>
      </c>
      <c r="D30" s="15"/>
      <c r="E30" s="153">
        <v>0</v>
      </c>
      <c r="F30" s="153">
        <v>0</v>
      </c>
      <c r="G30" s="153">
        <v>0</v>
      </c>
      <c r="H30" s="153">
        <v>0</v>
      </c>
      <c r="J30" s="153">
        <v>0</v>
      </c>
      <c r="K30" s="153">
        <v>0</v>
      </c>
      <c r="L30" s="153">
        <v>0</v>
      </c>
      <c r="M30" s="153">
        <v>0</v>
      </c>
      <c r="N30" s="153">
        <v>0</v>
      </c>
      <c r="P30" s="153">
        <v>0</v>
      </c>
      <c r="Q30" s="153">
        <v>0</v>
      </c>
      <c r="R30" s="153">
        <v>0</v>
      </c>
      <c r="S30" s="153">
        <v>0</v>
      </c>
      <c r="T30" s="153">
        <v>0</v>
      </c>
      <c r="U30" s="153">
        <v>0</v>
      </c>
      <c r="W30" s="153">
        <v>0</v>
      </c>
      <c r="X30" s="153">
        <v>0</v>
      </c>
      <c r="Y30" s="153">
        <v>0</v>
      </c>
      <c r="Z30" s="153">
        <v>0</v>
      </c>
      <c r="AB30" s="153">
        <v>0</v>
      </c>
      <c r="AC30" s="153">
        <v>0</v>
      </c>
      <c r="AD30" s="153">
        <v>573</v>
      </c>
      <c r="AE30" s="153">
        <v>0</v>
      </c>
      <c r="AF30" s="14"/>
      <c r="AG30" s="153">
        <v>0</v>
      </c>
      <c r="AH30" s="153">
        <v>0</v>
      </c>
      <c r="AI30" s="153">
        <v>0</v>
      </c>
      <c r="AJ30" s="153">
        <v>0</v>
      </c>
      <c r="AK30" s="14"/>
      <c r="AL30" s="14"/>
    </row>
    <row r="31" spans="2:38" ht="25">
      <c r="B31" s="218" t="s">
        <v>157</v>
      </c>
      <c r="C31" s="153">
        <v>0</v>
      </c>
      <c r="D31" s="15"/>
      <c r="E31" s="153">
        <v>0</v>
      </c>
      <c r="F31" s="153">
        <v>0</v>
      </c>
      <c r="G31" s="153">
        <v>0</v>
      </c>
      <c r="H31" s="153">
        <v>0</v>
      </c>
      <c r="J31" s="153">
        <v>0</v>
      </c>
      <c r="K31" s="153">
        <v>0</v>
      </c>
      <c r="L31" s="153">
        <v>0</v>
      </c>
      <c r="M31" s="153">
        <v>0</v>
      </c>
      <c r="N31" s="153">
        <v>0</v>
      </c>
      <c r="P31" s="153">
        <v>0</v>
      </c>
      <c r="Q31" s="153">
        <v>0</v>
      </c>
      <c r="R31" s="153">
        <v>0</v>
      </c>
      <c r="S31" s="153">
        <v>0</v>
      </c>
      <c r="T31" s="153">
        <v>0</v>
      </c>
      <c r="U31" s="153">
        <v>0</v>
      </c>
      <c r="W31" s="153">
        <v>0</v>
      </c>
      <c r="X31" s="153">
        <v>0</v>
      </c>
      <c r="Y31" s="153">
        <v>0</v>
      </c>
      <c r="Z31" s="153">
        <v>0</v>
      </c>
      <c r="AB31" s="153">
        <v>0</v>
      </c>
      <c r="AC31" s="153">
        <v>0</v>
      </c>
      <c r="AD31" s="153">
        <v>0</v>
      </c>
      <c r="AE31" s="153">
        <v>0</v>
      </c>
      <c r="AF31" s="14"/>
      <c r="AG31" s="153">
        <v>0</v>
      </c>
      <c r="AH31" s="153">
        <v>97</v>
      </c>
      <c r="AI31" s="153">
        <v>7025</v>
      </c>
      <c r="AJ31" s="153">
        <v>4666</v>
      </c>
      <c r="AK31" s="14"/>
      <c r="AL31" s="14"/>
    </row>
    <row r="32" spans="2:38" ht="7.5" customHeight="1">
      <c r="B32" s="15"/>
      <c r="C32" s="153"/>
      <c r="D32" s="15"/>
      <c r="E32" s="153"/>
      <c r="F32" s="153"/>
      <c r="G32" s="153"/>
      <c r="H32" s="153"/>
      <c r="J32" s="153"/>
      <c r="K32" s="153"/>
      <c r="L32" s="153"/>
      <c r="M32" s="153"/>
      <c r="N32" s="153"/>
      <c r="P32" s="153"/>
      <c r="Q32" s="153"/>
      <c r="R32" s="153"/>
      <c r="S32" s="153"/>
      <c r="T32" s="153"/>
      <c r="U32" s="153"/>
      <c r="W32" s="153"/>
      <c r="AB32" s="153"/>
      <c r="AF32" s="14"/>
      <c r="AG32" s="153"/>
      <c r="AK32" s="14"/>
      <c r="AL32" s="14"/>
    </row>
    <row r="33" spans="1:38" ht="13">
      <c r="B33" s="24" t="s">
        <v>54</v>
      </c>
      <c r="C33" s="25">
        <f>SUM(C21:C31)</f>
        <v>14002423</v>
      </c>
      <c r="D33" s="24"/>
      <c r="E33" s="25">
        <f>SUM(E21:E31)</f>
        <v>14236992</v>
      </c>
      <c r="F33" s="25">
        <f>SUM(F21:F31)</f>
        <v>14427829</v>
      </c>
      <c r="G33" s="25">
        <f>SUM(G21:G31)</f>
        <v>14614447</v>
      </c>
      <c r="H33" s="25">
        <f>SUM(H21:H31)</f>
        <v>14799931</v>
      </c>
      <c r="I33" s="26"/>
      <c r="J33" s="25">
        <f>SUM(J21:J31)</f>
        <v>14190894</v>
      </c>
      <c r="K33" s="25">
        <f>SUM(K21:K31)</f>
        <v>15537734</v>
      </c>
      <c r="L33" s="25">
        <f>SUM(L21:L31)</f>
        <v>15666033</v>
      </c>
      <c r="M33" s="25">
        <f>SUM(M21:M31)</f>
        <v>15504949</v>
      </c>
      <c r="N33" s="25">
        <f>SUM(N21:N31)</f>
        <v>15758101</v>
      </c>
      <c r="O33" s="11" t="s">
        <v>154</v>
      </c>
      <c r="P33" s="25">
        <f t="shared" ref="P33:U33" si="1">SUM(P21:P31)</f>
        <v>15527781</v>
      </c>
      <c r="Q33" s="25">
        <f t="shared" si="1"/>
        <v>15453300</v>
      </c>
      <c r="R33" s="25">
        <f t="shared" si="1"/>
        <v>15289549</v>
      </c>
      <c r="S33" s="25">
        <f t="shared" si="1"/>
        <v>15521479</v>
      </c>
      <c r="T33" s="25">
        <f t="shared" si="1"/>
        <v>16460927</v>
      </c>
      <c r="U33" s="25">
        <f t="shared" si="1"/>
        <v>16543176</v>
      </c>
      <c r="W33" s="25">
        <f>SUM(W21:W31)</f>
        <v>16600768</v>
      </c>
      <c r="X33" s="25">
        <f>SUM(X21:X31)</f>
        <v>16878519</v>
      </c>
      <c r="Y33" s="25">
        <f>SUM(Y21:Y31)</f>
        <v>16721683</v>
      </c>
      <c r="Z33" s="25">
        <f>SUM(Z21:Z31)</f>
        <v>16843998</v>
      </c>
      <c r="AB33" s="25">
        <f>SUM(AB21:AB31)</f>
        <v>16772625</v>
      </c>
      <c r="AC33" s="25">
        <f>SUM(AC21:AC31)</f>
        <v>17063540</v>
      </c>
      <c r="AD33" s="25">
        <f>SUM(AD21:AD31)</f>
        <v>17292003</v>
      </c>
      <c r="AE33" s="25">
        <f>SUM(AE21:AE31)</f>
        <v>17591399</v>
      </c>
      <c r="AF33" s="14"/>
      <c r="AG33" s="25">
        <f>SUM(AG21:AG31)</f>
        <v>17285170</v>
      </c>
      <c r="AH33" s="25">
        <f>SUM(AH21:AH31)</f>
        <v>17303235</v>
      </c>
      <c r="AI33" s="25">
        <f>SUM(AI21:AI31)</f>
        <v>17998483</v>
      </c>
      <c r="AJ33" s="25">
        <f>SUM(AJ21:AJ31)</f>
        <v>17732427</v>
      </c>
      <c r="AK33" s="14"/>
      <c r="AL33" s="14"/>
    </row>
    <row r="34" spans="1:38" ht="10.5" customHeight="1">
      <c r="B34" s="15"/>
      <c r="C34" s="22"/>
      <c r="D34" s="15"/>
      <c r="E34" s="22"/>
      <c r="F34" s="22"/>
      <c r="G34" s="22"/>
      <c r="H34" s="22"/>
      <c r="J34" s="22"/>
      <c r="K34" s="22"/>
      <c r="L34" s="22"/>
      <c r="M34" s="22"/>
      <c r="N34" s="22"/>
      <c r="P34" s="22"/>
      <c r="Q34" s="22"/>
      <c r="R34" s="22"/>
      <c r="S34" s="22"/>
      <c r="T34" s="22"/>
      <c r="U34" s="22"/>
      <c r="W34" s="22"/>
      <c r="AB34" s="22"/>
      <c r="AF34" s="14"/>
      <c r="AG34" s="22"/>
      <c r="AK34" s="14"/>
      <c r="AL34" s="14"/>
    </row>
    <row r="35" spans="1:38" ht="20.25" customHeight="1">
      <c r="B35" s="219" t="s">
        <v>55</v>
      </c>
      <c r="C35" s="220">
        <f>+C19+C33</f>
        <v>14342821</v>
      </c>
      <c r="D35" s="24"/>
      <c r="E35" s="220">
        <f>+E19+E33</f>
        <v>14854507</v>
      </c>
      <c r="F35" s="220">
        <f>+F19+F33</f>
        <v>14874524</v>
      </c>
      <c r="G35" s="220">
        <f>+G19+G33</f>
        <v>15324587</v>
      </c>
      <c r="H35" s="220">
        <f>+H19+H33</f>
        <v>15212436</v>
      </c>
      <c r="J35" s="220">
        <f>+J19+J33</f>
        <v>14952164</v>
      </c>
      <c r="K35" s="220">
        <f>+K19+K33</f>
        <v>15971524</v>
      </c>
      <c r="L35" s="220">
        <f>+L19+L33</f>
        <v>16466153</v>
      </c>
      <c r="M35" s="220">
        <f>+M19+M33</f>
        <v>16169425</v>
      </c>
      <c r="N35" s="220">
        <f>+N19+N33</f>
        <v>16327837</v>
      </c>
      <c r="P35" s="220">
        <f t="shared" ref="P35:U35" si="2">+P19+P33</f>
        <v>16210864</v>
      </c>
      <c r="Q35" s="220">
        <f t="shared" si="2"/>
        <v>16005705</v>
      </c>
      <c r="R35" s="220">
        <f t="shared" si="2"/>
        <v>15919947</v>
      </c>
      <c r="S35" s="220">
        <f t="shared" si="2"/>
        <v>16051630</v>
      </c>
      <c r="T35" s="220">
        <f t="shared" si="2"/>
        <v>16995199</v>
      </c>
      <c r="U35" s="220">
        <f t="shared" si="2"/>
        <v>17083471</v>
      </c>
      <c r="W35" s="220">
        <f>+W19+W33</f>
        <v>17289534</v>
      </c>
      <c r="X35" s="220">
        <f>+X19+X33</f>
        <v>17469084</v>
      </c>
      <c r="Y35" s="220">
        <f>+Y19+Y33</f>
        <v>17504261</v>
      </c>
      <c r="Z35" s="220">
        <f>+Z19+Z33</f>
        <v>17523550</v>
      </c>
      <c r="AB35" s="220">
        <f>+AB19+AB33</f>
        <v>17598033</v>
      </c>
      <c r="AC35" s="220">
        <f>+AC19+AC33</f>
        <v>17712442</v>
      </c>
      <c r="AD35" s="220">
        <f>+AD19+AD33</f>
        <v>17701476</v>
      </c>
      <c r="AE35" s="220">
        <f>+AE19+AE33</f>
        <v>17946404</v>
      </c>
      <c r="AF35" s="14"/>
      <c r="AG35" s="220">
        <f>+AG19+AG33</f>
        <v>17960990</v>
      </c>
      <c r="AH35" s="220">
        <f>+AH19+AH33</f>
        <v>17841047</v>
      </c>
      <c r="AI35" s="220">
        <f>+AI19+AI33</f>
        <v>18454416</v>
      </c>
      <c r="AJ35" s="220">
        <f>+AJ19+AJ33</f>
        <v>18160512</v>
      </c>
      <c r="AK35" s="14"/>
      <c r="AL35" s="14"/>
    </row>
    <row r="36" spans="1:38" ht="20.25" customHeight="1">
      <c r="B36" s="221" t="s">
        <v>48</v>
      </c>
      <c r="C36" s="222">
        <v>7443.7397175671958</v>
      </c>
      <c r="D36" s="223"/>
      <c r="E36" s="222">
        <v>7558.3146764903431</v>
      </c>
      <c r="F36" s="222">
        <v>7906.9759035504121</v>
      </c>
      <c r="G36" s="222">
        <v>7554.714367408108</v>
      </c>
      <c r="H36" s="222">
        <v>6358.4912600419648</v>
      </c>
      <c r="J36" s="222">
        <v>5804.2988296034619</v>
      </c>
      <c r="K36" s="222">
        <v>6178.2763596133236</v>
      </c>
      <c r="L36" s="222">
        <v>5274.3335874488293</v>
      </c>
      <c r="M36" s="222">
        <v>5134.0146119823339</v>
      </c>
      <c r="N36" s="222">
        <v>5184.3125986277064</v>
      </c>
      <c r="P36" s="222">
        <v>5363.6620510529883</v>
      </c>
      <c r="Q36" s="222">
        <v>5488.6425595391183</v>
      </c>
      <c r="R36" s="222">
        <v>5527.8553447108461</v>
      </c>
      <c r="S36" s="222">
        <v>5574</v>
      </c>
      <c r="T36" s="222">
        <f>+T35/3000.71</f>
        <v>5663.7259181993595</v>
      </c>
      <c r="U36" s="222">
        <v>5693.1429561670402</v>
      </c>
      <c r="W36" s="222">
        <v>6002.8101824847936</v>
      </c>
      <c r="X36" s="222">
        <v>5750</v>
      </c>
      <c r="Y36" s="222">
        <v>5960</v>
      </c>
      <c r="Z36" s="222">
        <f>+Z35/2984</f>
        <v>5872.5033512064347</v>
      </c>
      <c r="AB36" s="222">
        <f>+AB35/2780.47</f>
        <v>6329.1576603955455</v>
      </c>
      <c r="AC36" s="222">
        <f>+AC35/2930.8</f>
        <v>6043.5519312133201</v>
      </c>
      <c r="AD36" s="222">
        <f>+AD35/2972.18</f>
        <v>5955.7213896870317</v>
      </c>
      <c r="AE36" s="222">
        <f>+AE35/3249.75</f>
        <v>5522.3952611739369</v>
      </c>
      <c r="AF36" s="14"/>
      <c r="AG36" s="222">
        <f>+AG35/3174.79</f>
        <v>5657.3789132509555</v>
      </c>
      <c r="AH36" s="222">
        <f>+AH35/3205.67</f>
        <v>5565.4658776480419</v>
      </c>
      <c r="AI36" s="222">
        <f>+AI35/3462.01</f>
        <v>5330.5495940219698</v>
      </c>
      <c r="AJ36" s="222">
        <f>+AJ35/3277.14</f>
        <v>5541.5734451381386</v>
      </c>
      <c r="AK36" s="14"/>
      <c r="AL36" s="14"/>
    </row>
    <row r="37" spans="1:38" ht="3.75" customHeight="1">
      <c r="C37" s="10"/>
      <c r="J37" s="10"/>
      <c r="K37" s="10"/>
      <c r="L37" s="10"/>
      <c r="M37" s="10"/>
      <c r="N37" s="10"/>
      <c r="P37" s="10"/>
      <c r="Q37" s="10"/>
      <c r="R37" s="10"/>
      <c r="S37" s="10"/>
      <c r="T37" s="10"/>
      <c r="U37" s="10"/>
      <c r="W37" s="10"/>
      <c r="AB37" s="10"/>
      <c r="AF37" s="14"/>
      <c r="AG37" s="10"/>
      <c r="AK37" s="14"/>
      <c r="AL37" s="14"/>
    </row>
    <row r="38" spans="1:38" ht="16.5" customHeight="1">
      <c r="B38" s="12" t="s">
        <v>33</v>
      </c>
      <c r="C38" s="153">
        <v>403345</v>
      </c>
      <c r="D38" s="12"/>
      <c r="E38" s="22">
        <v>561428</v>
      </c>
      <c r="F38" s="22">
        <v>417165</v>
      </c>
      <c r="G38" s="22">
        <v>171377</v>
      </c>
      <c r="H38" s="153">
        <v>0</v>
      </c>
      <c r="J38" s="22">
        <v>103745</v>
      </c>
      <c r="K38" s="22">
        <v>116234</v>
      </c>
      <c r="L38" s="22">
        <v>123695</v>
      </c>
      <c r="M38" s="22">
        <v>123415</v>
      </c>
      <c r="N38" s="22">
        <v>123415</v>
      </c>
      <c r="P38" s="22">
        <v>5105</v>
      </c>
      <c r="Q38" s="22">
        <v>5500</v>
      </c>
      <c r="R38" s="22">
        <v>5891</v>
      </c>
      <c r="S38" s="22">
        <v>5891</v>
      </c>
      <c r="T38" s="22">
        <v>5920</v>
      </c>
      <c r="U38" s="22">
        <v>5920</v>
      </c>
      <c r="W38" s="22">
        <v>37394</v>
      </c>
      <c r="X38" s="22">
        <v>13044</v>
      </c>
      <c r="Y38" s="22">
        <v>4056</v>
      </c>
      <c r="Z38" s="22">
        <v>3728</v>
      </c>
      <c r="AB38" s="22">
        <v>2871</v>
      </c>
      <c r="AC38" s="22">
        <v>186376</v>
      </c>
      <c r="AD38" s="22">
        <v>243729</v>
      </c>
      <c r="AE38" s="22">
        <v>119106</v>
      </c>
      <c r="AF38" s="14"/>
      <c r="AG38" s="22">
        <v>140423</v>
      </c>
      <c r="AH38" s="22">
        <v>144537</v>
      </c>
      <c r="AI38" s="22">
        <v>270</v>
      </c>
      <c r="AJ38" s="22">
        <v>4252</v>
      </c>
      <c r="AK38" s="14"/>
      <c r="AL38" s="14"/>
    </row>
    <row r="39" spans="1:38" ht="16.5" customHeight="1">
      <c r="B39" s="12" t="s">
        <v>252</v>
      </c>
      <c r="C39" s="153"/>
      <c r="D39" s="12"/>
      <c r="E39" s="22"/>
      <c r="F39" s="22"/>
      <c r="G39" s="22"/>
      <c r="H39" s="153"/>
      <c r="J39" s="22"/>
      <c r="K39" s="22"/>
      <c r="L39" s="22"/>
      <c r="M39" s="22"/>
      <c r="N39" s="22"/>
      <c r="P39" s="22"/>
      <c r="Q39" s="22"/>
      <c r="R39" s="22"/>
      <c r="S39" s="22"/>
      <c r="T39" s="22"/>
      <c r="U39" s="22"/>
      <c r="W39" s="22"/>
      <c r="X39" s="22"/>
      <c r="Y39" s="22"/>
      <c r="Z39" s="22"/>
      <c r="AB39" s="22"/>
      <c r="AC39" s="22"/>
      <c r="AD39" s="22"/>
      <c r="AE39" s="22"/>
      <c r="AF39" s="14"/>
      <c r="AG39" s="224">
        <v>1310</v>
      </c>
      <c r="AH39" s="22">
        <v>956</v>
      </c>
      <c r="AI39" s="22">
        <v>527</v>
      </c>
      <c r="AJ39" s="22">
        <v>2036</v>
      </c>
      <c r="AK39" s="14"/>
      <c r="AL39" s="14"/>
    </row>
    <row r="40" spans="1:38" ht="16.5" customHeight="1">
      <c r="A40" s="14"/>
      <c r="B40" s="12" t="s">
        <v>61</v>
      </c>
      <c r="C40" s="22">
        <v>33543</v>
      </c>
      <c r="D40" s="12"/>
      <c r="E40" s="22">
        <v>36840</v>
      </c>
      <c r="F40" s="22">
        <v>41640</v>
      </c>
      <c r="G40" s="22">
        <v>37478</v>
      </c>
      <c r="H40" s="22">
        <v>30429</v>
      </c>
      <c r="J40" s="22">
        <v>39346</v>
      </c>
      <c r="K40" s="22">
        <v>20123</v>
      </c>
      <c r="L40" s="22">
        <v>13302</v>
      </c>
      <c r="M40" s="22">
        <f>4958+338</f>
        <v>5296</v>
      </c>
      <c r="N40" s="22">
        <f>4958+338</f>
        <v>5296</v>
      </c>
      <c r="P40" s="22">
        <v>6939</v>
      </c>
      <c r="Q40" s="22">
        <v>112523</v>
      </c>
      <c r="R40" s="22">
        <v>137205</v>
      </c>
      <c r="S40" s="22">
        <v>137205</v>
      </c>
      <c r="T40" s="22">
        <v>139132</v>
      </c>
      <c r="U40" s="22">
        <v>139132</v>
      </c>
      <c r="W40" s="22">
        <v>139602</v>
      </c>
      <c r="X40" s="22">
        <v>139748</v>
      </c>
      <c r="Y40" s="22">
        <v>365315</v>
      </c>
      <c r="Z40" s="22">
        <v>367340</v>
      </c>
      <c r="AB40" s="22">
        <v>373220</v>
      </c>
      <c r="AC40" s="22">
        <v>103602</v>
      </c>
      <c r="AD40" s="22">
        <v>7136</v>
      </c>
      <c r="AE40" s="22">
        <v>121691</v>
      </c>
      <c r="AF40" s="14"/>
      <c r="AG40" s="22">
        <v>110611</v>
      </c>
      <c r="AH40" s="22">
        <v>94580</v>
      </c>
      <c r="AI40" s="22">
        <v>8031</v>
      </c>
      <c r="AJ40" s="22">
        <v>8274</v>
      </c>
      <c r="AK40" s="14"/>
      <c r="AL40" s="14"/>
    </row>
    <row r="41" spans="1:38" ht="16.5" customHeight="1">
      <c r="B41" s="12" t="s">
        <v>138</v>
      </c>
      <c r="C41" s="22">
        <v>125609</v>
      </c>
      <c r="D41" s="12"/>
      <c r="E41" s="22">
        <v>273125</v>
      </c>
      <c r="F41" s="22">
        <v>227780</v>
      </c>
      <c r="G41" s="22">
        <v>167568</v>
      </c>
      <c r="H41" s="22">
        <v>143921</v>
      </c>
      <c r="J41" s="22">
        <f>290138+1</f>
        <v>290139</v>
      </c>
      <c r="K41" s="22">
        <v>299078</v>
      </c>
      <c r="L41" s="22">
        <v>232572</v>
      </c>
      <c r="M41" s="22">
        <f>185324-338-2012-4543</f>
        <v>178431</v>
      </c>
      <c r="N41" s="22">
        <f>185324-338-2012-4543</f>
        <v>178431</v>
      </c>
      <c r="P41" s="22">
        <v>334268</v>
      </c>
      <c r="Q41" s="22">
        <v>238607</v>
      </c>
      <c r="R41" s="22">
        <v>156449</v>
      </c>
      <c r="S41" s="22">
        <v>156449</v>
      </c>
      <c r="T41" s="22">
        <v>92004</v>
      </c>
      <c r="U41" s="22">
        <v>136251</v>
      </c>
      <c r="W41" s="22">
        <v>529169</v>
      </c>
      <c r="X41" s="22">
        <v>225831</v>
      </c>
      <c r="Y41" s="22">
        <v>157093</v>
      </c>
      <c r="Z41" s="22">
        <v>83789</v>
      </c>
      <c r="AB41" s="22">
        <v>16130</v>
      </c>
      <c r="AC41" s="22">
        <v>225365</v>
      </c>
      <c r="AD41" s="22">
        <v>156633</v>
      </c>
      <c r="AE41" s="22">
        <v>90551</v>
      </c>
      <c r="AF41" s="14"/>
      <c r="AG41" s="22">
        <v>316035</v>
      </c>
      <c r="AH41" s="22">
        <v>242184</v>
      </c>
      <c r="AI41" s="22">
        <v>165111</v>
      </c>
      <c r="AJ41" s="22">
        <v>93764</v>
      </c>
      <c r="AK41" s="14"/>
      <c r="AL41" s="14"/>
    </row>
    <row r="42" spans="1:38" ht="16.5" customHeight="1">
      <c r="B42" s="12" t="s">
        <v>132</v>
      </c>
      <c r="C42" s="22">
        <v>1155</v>
      </c>
      <c r="D42" s="12"/>
      <c r="E42" s="22">
        <v>1155</v>
      </c>
      <c r="F42" s="22">
        <v>1143</v>
      </c>
      <c r="G42" s="22">
        <v>2259</v>
      </c>
      <c r="H42" s="22">
        <v>1863</v>
      </c>
      <c r="J42" s="22">
        <v>6909</v>
      </c>
      <c r="K42" s="22">
        <v>2521</v>
      </c>
      <c r="L42" s="22">
        <v>1249</v>
      </c>
      <c r="M42" s="22">
        <f>770+495</f>
        <v>1265</v>
      </c>
      <c r="N42" s="22">
        <f>770+495</f>
        <v>1265</v>
      </c>
      <c r="P42" s="22">
        <v>1288</v>
      </c>
      <c r="Q42" s="22">
        <v>1312</v>
      </c>
      <c r="R42" s="22">
        <v>1335</v>
      </c>
      <c r="S42" s="22">
        <v>1335</v>
      </c>
      <c r="T42" s="22">
        <v>1921</v>
      </c>
      <c r="U42" s="22">
        <v>1921</v>
      </c>
      <c r="W42" s="22">
        <v>1921</v>
      </c>
      <c r="X42" s="22">
        <v>1921</v>
      </c>
      <c r="Y42" s="22">
        <v>514</v>
      </c>
      <c r="Z42" s="22">
        <v>515</v>
      </c>
      <c r="AB42" s="22">
        <v>515</v>
      </c>
      <c r="AC42" s="22">
        <v>730</v>
      </c>
      <c r="AD42" s="22">
        <v>701</v>
      </c>
      <c r="AE42" s="22">
        <v>701</v>
      </c>
      <c r="AF42" s="14"/>
      <c r="AG42" s="22">
        <v>701</v>
      </c>
      <c r="AH42" s="22">
        <v>701</v>
      </c>
      <c r="AI42" s="22">
        <v>701</v>
      </c>
      <c r="AJ42" s="22">
        <v>322</v>
      </c>
      <c r="AK42" s="14"/>
      <c r="AL42" s="14"/>
    </row>
    <row r="43" spans="1:38" ht="16.5" customHeight="1">
      <c r="B43" s="12" t="s">
        <v>137</v>
      </c>
      <c r="C43" s="22">
        <v>14212</v>
      </c>
      <c r="D43" s="12"/>
      <c r="E43" s="22">
        <v>13649</v>
      </c>
      <c r="F43" s="22">
        <v>4584</v>
      </c>
      <c r="G43" s="22">
        <v>5905</v>
      </c>
      <c r="H43" s="22">
        <v>470</v>
      </c>
      <c r="J43" s="22">
        <v>14957</v>
      </c>
      <c r="K43" s="22">
        <v>13510</v>
      </c>
      <c r="L43" s="22">
        <v>9066</v>
      </c>
      <c r="M43" s="22">
        <f>14177-3630</f>
        <v>10547</v>
      </c>
      <c r="N43" s="22">
        <v>10547</v>
      </c>
      <c r="P43" s="22">
        <v>30459</v>
      </c>
      <c r="Q43" s="22">
        <v>12074</v>
      </c>
      <c r="R43" s="22">
        <v>7176</v>
      </c>
      <c r="S43" s="22">
        <v>4689</v>
      </c>
      <c r="T43" s="22">
        <v>5562</v>
      </c>
      <c r="U43" s="22">
        <v>5741</v>
      </c>
      <c r="W43" s="22">
        <v>6513</v>
      </c>
      <c r="X43" s="22">
        <v>9381</v>
      </c>
      <c r="Y43" s="22">
        <v>38001</v>
      </c>
      <c r="Z43" s="22">
        <v>45668</v>
      </c>
      <c r="AB43" s="22">
        <v>40290</v>
      </c>
      <c r="AC43" s="22">
        <v>7684</v>
      </c>
      <c r="AD43" s="22">
        <v>11670</v>
      </c>
      <c r="AE43" s="22">
        <v>23811</v>
      </c>
      <c r="AF43" s="14"/>
      <c r="AG43" s="22">
        <v>12083</v>
      </c>
      <c r="AH43" s="22">
        <v>1711</v>
      </c>
      <c r="AI43" s="22">
        <v>5469</v>
      </c>
      <c r="AJ43" s="22">
        <v>1974</v>
      </c>
      <c r="AK43" s="14"/>
      <c r="AL43" s="14"/>
    </row>
    <row r="44" spans="1:38" ht="16.5" customHeight="1">
      <c r="B44" s="218" t="s">
        <v>191</v>
      </c>
      <c r="C44" s="225">
        <f>712+1000</f>
        <v>1712</v>
      </c>
      <c r="D44" s="218"/>
      <c r="E44" s="225">
        <f>879+1058</f>
        <v>1937</v>
      </c>
      <c r="F44" s="225">
        <f>786+1177</f>
        <v>1963</v>
      </c>
      <c r="G44" s="225">
        <f>4094-1040</f>
        <v>3054</v>
      </c>
      <c r="H44" s="225">
        <f>944+1000</f>
        <v>1944</v>
      </c>
      <c r="I44" s="226"/>
      <c r="J44" s="225">
        <f>1118+1347</f>
        <v>2465</v>
      </c>
      <c r="K44" s="225">
        <f>1243+1374</f>
        <v>2617</v>
      </c>
      <c r="L44" s="225">
        <f>1427-1+10</f>
        <v>1436</v>
      </c>
      <c r="M44" s="225">
        <f>1933+517+2012+4543-495</f>
        <v>8510</v>
      </c>
      <c r="N44" s="225">
        <f>1933+517+2012+4543-495</f>
        <v>8510</v>
      </c>
      <c r="O44" s="226"/>
      <c r="P44" s="225">
        <f>2087+517</f>
        <v>2604</v>
      </c>
      <c r="Q44" s="225">
        <f>4228+517</f>
        <v>4745</v>
      </c>
      <c r="R44" s="225">
        <f>6690+517</f>
        <v>7207</v>
      </c>
      <c r="S44" s="225">
        <v>7207</v>
      </c>
      <c r="T44" s="225">
        <f>8961+2815</f>
        <v>11776</v>
      </c>
      <c r="U44" s="225">
        <v>11776</v>
      </c>
      <c r="W44" s="225">
        <v>9084</v>
      </c>
      <c r="X44" s="225">
        <v>8701</v>
      </c>
      <c r="Y44" s="225">
        <v>11409</v>
      </c>
      <c r="Z44" s="225">
        <v>12683</v>
      </c>
      <c r="AB44" s="225">
        <v>15129</v>
      </c>
      <c r="AC44" s="225">
        <v>7703</v>
      </c>
      <c r="AD44" s="225">
        <v>10057</v>
      </c>
      <c r="AE44" s="225">
        <v>11414</v>
      </c>
      <c r="AF44" s="14"/>
      <c r="AG44" s="225">
        <v>5829</v>
      </c>
      <c r="AH44" s="225">
        <v>7943</v>
      </c>
      <c r="AI44" s="225">
        <v>9809</v>
      </c>
      <c r="AJ44" s="225">
        <v>12404</v>
      </c>
      <c r="AK44" s="14"/>
      <c r="AL44" s="14"/>
    </row>
    <row r="45" spans="1:38" ht="16.5" customHeight="1">
      <c r="B45" s="218" t="s">
        <v>133</v>
      </c>
      <c r="C45" s="195">
        <v>0</v>
      </c>
      <c r="D45" s="218"/>
      <c r="E45" s="195">
        <v>0</v>
      </c>
      <c r="F45" s="195">
        <v>0</v>
      </c>
      <c r="G45" s="195">
        <v>0</v>
      </c>
      <c r="H45" s="195">
        <v>0</v>
      </c>
      <c r="I45" s="226"/>
      <c r="J45" s="195">
        <v>0</v>
      </c>
      <c r="K45" s="195">
        <v>0</v>
      </c>
      <c r="L45" s="195">
        <v>0</v>
      </c>
      <c r="M45" s="195">
        <v>0</v>
      </c>
      <c r="N45" s="195">
        <v>0</v>
      </c>
      <c r="O45" s="226"/>
      <c r="P45" s="195">
        <v>0</v>
      </c>
      <c r="Q45" s="195">
        <v>0</v>
      </c>
      <c r="R45" s="195">
        <v>0</v>
      </c>
      <c r="S45" s="195">
        <v>0</v>
      </c>
      <c r="T45" s="195">
        <v>0</v>
      </c>
      <c r="U45" s="195">
        <v>0</v>
      </c>
      <c r="W45" s="195">
        <v>0</v>
      </c>
      <c r="X45" s="195">
        <v>0</v>
      </c>
      <c r="Y45" s="195">
        <v>0</v>
      </c>
      <c r="Z45" s="195">
        <v>0</v>
      </c>
      <c r="AB45" s="195">
        <v>0</v>
      </c>
      <c r="AC45" s="195">
        <v>0</v>
      </c>
      <c r="AD45" s="195">
        <v>0</v>
      </c>
      <c r="AE45" s="195">
        <v>0</v>
      </c>
      <c r="AF45" s="14"/>
      <c r="AG45" s="195">
        <v>0</v>
      </c>
      <c r="AH45" s="195">
        <v>0</v>
      </c>
      <c r="AI45" s="195">
        <v>0</v>
      </c>
      <c r="AJ45" s="195">
        <v>0</v>
      </c>
      <c r="AK45" s="14"/>
      <c r="AL45" s="14"/>
    </row>
    <row r="46" spans="1:38" ht="16.5" customHeight="1">
      <c r="A46" s="14"/>
      <c r="B46" s="15" t="s">
        <v>274</v>
      </c>
      <c r="C46" s="153"/>
      <c r="D46" s="12"/>
      <c r="E46" s="22"/>
      <c r="F46" s="153"/>
      <c r="G46" s="153"/>
      <c r="H46" s="153"/>
      <c r="J46" s="22"/>
      <c r="K46" s="22"/>
      <c r="L46" s="22"/>
      <c r="M46" s="22"/>
      <c r="N46" s="22"/>
      <c r="P46" s="22"/>
      <c r="Q46" s="22"/>
      <c r="R46" s="22"/>
      <c r="S46" s="22"/>
      <c r="T46" s="22"/>
      <c r="U46" s="22"/>
      <c r="W46" s="22"/>
      <c r="X46" s="22"/>
      <c r="Y46" s="22"/>
      <c r="Z46" s="22"/>
      <c r="AB46" s="153"/>
      <c r="AC46" s="22"/>
      <c r="AD46" s="22"/>
      <c r="AE46" s="22"/>
      <c r="AF46" s="14"/>
      <c r="AG46" s="153">
        <v>0</v>
      </c>
      <c r="AH46" s="153">
        <v>0</v>
      </c>
      <c r="AI46" s="153">
        <v>0</v>
      </c>
      <c r="AJ46" s="153">
        <v>0</v>
      </c>
      <c r="AK46" s="14"/>
      <c r="AL46" s="14"/>
    </row>
    <row r="47" spans="1:38" ht="16.5" customHeight="1">
      <c r="A47" s="14"/>
      <c r="B47" s="12" t="s">
        <v>266</v>
      </c>
      <c r="C47" s="153">
        <v>29061</v>
      </c>
      <c r="D47" s="12"/>
      <c r="E47" s="22">
        <v>34331</v>
      </c>
      <c r="F47" s="153">
        <f>-12515-1</f>
        <v>-12516</v>
      </c>
      <c r="G47" s="153">
        <v>91213</v>
      </c>
      <c r="H47" s="153">
        <v>27501</v>
      </c>
      <c r="J47" s="22">
        <v>35618</v>
      </c>
      <c r="K47" s="22">
        <v>41521</v>
      </c>
      <c r="L47" s="22">
        <v>27833</v>
      </c>
      <c r="M47" s="22">
        <f>17253+3630</f>
        <v>20883</v>
      </c>
      <c r="N47" s="22">
        <v>20883</v>
      </c>
      <c r="P47" s="22">
        <v>16536</v>
      </c>
      <c r="Q47" s="22">
        <v>19515</v>
      </c>
      <c r="R47" s="22">
        <v>51633</v>
      </c>
      <c r="S47" s="22">
        <v>54120</v>
      </c>
      <c r="T47" s="22">
        <v>46770</v>
      </c>
      <c r="U47" s="22">
        <v>46824</v>
      </c>
      <c r="W47" s="22">
        <v>56382</v>
      </c>
      <c r="X47" s="22">
        <v>49969</v>
      </c>
      <c r="Y47" s="22">
        <v>47983</v>
      </c>
      <c r="Z47" s="22">
        <v>62970</v>
      </c>
      <c r="AB47" s="153">
        <v>41421</v>
      </c>
      <c r="AC47" s="22">
        <v>41900</v>
      </c>
      <c r="AD47" s="22">
        <v>46355</v>
      </c>
      <c r="AE47" s="22">
        <v>25420</v>
      </c>
      <c r="AF47" s="14"/>
      <c r="AG47" s="153">
        <v>23407</v>
      </c>
      <c r="AH47" s="22">
        <v>24551</v>
      </c>
      <c r="AI47" s="22">
        <v>30117</v>
      </c>
      <c r="AJ47" s="22">
        <v>53332</v>
      </c>
      <c r="AK47" s="14"/>
      <c r="AL47" s="14"/>
    </row>
    <row r="48" spans="1:38" ht="16.5" customHeight="1">
      <c r="A48" s="14"/>
      <c r="B48" s="12" t="s">
        <v>136</v>
      </c>
      <c r="C48" s="153">
        <v>1451</v>
      </c>
      <c r="D48" s="12"/>
      <c r="E48" s="153">
        <v>6987</v>
      </c>
      <c r="F48" s="153">
        <v>15170</v>
      </c>
      <c r="G48" s="153">
        <v>0</v>
      </c>
      <c r="H48" s="153">
        <v>0</v>
      </c>
      <c r="J48" s="153">
        <v>0</v>
      </c>
      <c r="K48" s="153">
        <v>0</v>
      </c>
      <c r="L48" s="153">
        <v>0</v>
      </c>
      <c r="M48" s="153">
        <v>0</v>
      </c>
      <c r="N48" s="153">
        <v>0</v>
      </c>
      <c r="P48" s="153">
        <v>0</v>
      </c>
      <c r="Q48" s="153">
        <v>0</v>
      </c>
      <c r="R48" s="153">
        <v>0</v>
      </c>
      <c r="S48" s="153">
        <v>0</v>
      </c>
      <c r="T48" s="153">
        <v>0</v>
      </c>
      <c r="U48" s="153">
        <v>0</v>
      </c>
      <c r="W48" s="153">
        <v>0</v>
      </c>
      <c r="X48" s="153">
        <v>0</v>
      </c>
      <c r="Y48" s="153">
        <v>0</v>
      </c>
      <c r="Z48" s="153">
        <v>0</v>
      </c>
      <c r="AB48" s="153">
        <v>0</v>
      </c>
      <c r="AC48" s="153">
        <v>0</v>
      </c>
      <c r="AD48" s="153">
        <v>0</v>
      </c>
      <c r="AE48" s="153">
        <v>175</v>
      </c>
      <c r="AF48" s="14"/>
      <c r="AG48" s="153">
        <v>3182</v>
      </c>
      <c r="AH48" s="153">
        <v>2420</v>
      </c>
      <c r="AI48" s="153">
        <v>1389</v>
      </c>
      <c r="AJ48" s="153">
        <v>42</v>
      </c>
      <c r="AK48" s="14"/>
      <c r="AL48" s="14"/>
    </row>
    <row r="49" spans="1:38" ht="16.5" customHeight="1">
      <c r="B49" s="12" t="s">
        <v>85</v>
      </c>
      <c r="C49" s="153">
        <v>0</v>
      </c>
      <c r="D49" s="12"/>
      <c r="E49" s="153">
        <v>0</v>
      </c>
      <c r="F49" s="153">
        <v>0</v>
      </c>
      <c r="G49" s="153">
        <v>0</v>
      </c>
      <c r="H49" s="153">
        <v>0</v>
      </c>
      <c r="J49" s="153">
        <v>0</v>
      </c>
      <c r="K49" s="153">
        <v>0</v>
      </c>
      <c r="L49" s="153">
        <v>0</v>
      </c>
      <c r="M49" s="153">
        <v>0</v>
      </c>
      <c r="N49" s="153">
        <v>0</v>
      </c>
      <c r="P49" s="153">
        <v>0</v>
      </c>
      <c r="Q49" s="153">
        <v>0</v>
      </c>
      <c r="R49" s="153">
        <v>0</v>
      </c>
      <c r="S49" s="153">
        <v>0</v>
      </c>
      <c r="T49" s="153">
        <v>0</v>
      </c>
      <c r="U49" s="153">
        <v>0</v>
      </c>
      <c r="W49" s="153">
        <v>0</v>
      </c>
      <c r="X49" s="153">
        <v>0</v>
      </c>
      <c r="Y49" s="153">
        <v>0</v>
      </c>
      <c r="Z49" s="153">
        <v>0</v>
      </c>
      <c r="AB49" s="153">
        <v>0</v>
      </c>
      <c r="AC49" s="153">
        <v>0</v>
      </c>
      <c r="AD49" s="153">
        <v>0</v>
      </c>
      <c r="AE49" s="153">
        <v>0</v>
      </c>
      <c r="AF49" s="14"/>
      <c r="AG49" s="153">
        <v>0</v>
      </c>
      <c r="AH49" s="153">
        <v>0</v>
      </c>
      <c r="AI49" s="153">
        <v>0</v>
      </c>
      <c r="AJ49" s="153"/>
      <c r="AK49" s="14"/>
      <c r="AL49" s="14"/>
    </row>
    <row r="50" spans="1:38" ht="3.75" customHeight="1">
      <c r="B50" s="12"/>
      <c r="C50" s="153"/>
      <c r="D50" s="12"/>
      <c r="E50" s="153"/>
      <c r="F50" s="153"/>
      <c r="G50" s="153"/>
      <c r="H50" s="153"/>
      <c r="J50" s="153"/>
      <c r="K50" s="153"/>
      <c r="L50" s="153"/>
      <c r="M50" s="153"/>
      <c r="N50" s="153"/>
      <c r="P50" s="153"/>
      <c r="Q50" s="153"/>
      <c r="R50" s="153"/>
      <c r="S50" s="153"/>
      <c r="T50" s="153"/>
      <c r="U50" s="153"/>
      <c r="W50" s="153"/>
      <c r="AB50" s="153"/>
      <c r="AF50" s="14"/>
      <c r="AG50" s="153"/>
      <c r="AK50" s="14"/>
      <c r="AL50" s="14"/>
    </row>
    <row r="51" spans="1:38" ht="20.25" customHeight="1">
      <c r="B51" s="24" t="s">
        <v>56</v>
      </c>
      <c r="C51" s="25">
        <f>+SUM(C38:C49)</f>
        <v>610088</v>
      </c>
      <c r="D51" s="24"/>
      <c r="E51" s="25">
        <f>+SUM(E38:E49)</f>
        <v>929452</v>
      </c>
      <c r="F51" s="25">
        <f>+SUM(F38:F49)</f>
        <v>696929</v>
      </c>
      <c r="G51" s="25">
        <f>+SUM(G38:G49)</f>
        <v>478854</v>
      </c>
      <c r="H51" s="25">
        <f>+SUM(H38:H49)</f>
        <v>206128</v>
      </c>
      <c r="I51" s="26"/>
      <c r="J51" s="25">
        <f>+SUM(J38:J49)</f>
        <v>493179</v>
      </c>
      <c r="K51" s="25">
        <f>+SUM(K38:K49)</f>
        <v>495604</v>
      </c>
      <c r="L51" s="25">
        <f>+SUM(L38:L49)</f>
        <v>409153</v>
      </c>
      <c r="M51" s="25">
        <f>+SUM(M38:M49)</f>
        <v>348347</v>
      </c>
      <c r="N51" s="25">
        <f>+SUM(N38:N49)</f>
        <v>348347</v>
      </c>
      <c r="P51" s="25">
        <f t="shared" ref="P51:U51" si="3">+SUM(P38:P49)</f>
        <v>397199</v>
      </c>
      <c r="Q51" s="25">
        <f t="shared" si="3"/>
        <v>394276</v>
      </c>
      <c r="R51" s="25">
        <f t="shared" si="3"/>
        <v>366896</v>
      </c>
      <c r="S51" s="25">
        <f t="shared" si="3"/>
        <v>366896</v>
      </c>
      <c r="T51" s="25">
        <f t="shared" si="3"/>
        <v>303085</v>
      </c>
      <c r="U51" s="25">
        <f t="shared" si="3"/>
        <v>347565</v>
      </c>
      <c r="W51" s="25">
        <f>+SUM(W38:W49)</f>
        <v>780065</v>
      </c>
      <c r="X51" s="25">
        <f>+SUM(X38:X49)</f>
        <v>448595</v>
      </c>
      <c r="Y51" s="25">
        <f>+SUM(Y38:Y49)</f>
        <v>624371</v>
      </c>
      <c r="Z51" s="25">
        <f>+SUM(Z38:Z49)</f>
        <v>576693</v>
      </c>
      <c r="AB51" s="25">
        <f>+SUM(AB38:AB49)</f>
        <v>489576</v>
      </c>
      <c r="AC51" s="25">
        <f>+SUM(AC38:AC49)</f>
        <v>573360</v>
      </c>
      <c r="AD51" s="25">
        <f>+SUM(AD38:AD49)</f>
        <v>476281</v>
      </c>
      <c r="AE51" s="25">
        <f>+SUM(AE38:AE49)</f>
        <v>392869</v>
      </c>
      <c r="AF51" s="14"/>
      <c r="AG51" s="25">
        <f>+SUM(AG38:AG49)</f>
        <v>613581</v>
      </c>
      <c r="AH51" s="25">
        <f>+SUM(AH38:AH49)</f>
        <v>519583</v>
      </c>
      <c r="AI51" s="25">
        <f>+SUM(AI38:AI49)</f>
        <v>221424</v>
      </c>
      <c r="AJ51" s="25">
        <f>+SUM(AJ38:AJ49)</f>
        <v>176400</v>
      </c>
      <c r="AK51" s="14"/>
      <c r="AL51" s="14"/>
    </row>
    <row r="52" spans="1:38" ht="6" customHeight="1">
      <c r="B52" s="24"/>
      <c r="C52" s="25"/>
      <c r="D52" s="24"/>
      <c r="E52" s="25"/>
      <c r="F52" s="25"/>
      <c r="G52" s="25"/>
      <c r="H52" s="25"/>
      <c r="I52" s="26"/>
      <c r="J52" s="25"/>
      <c r="K52" s="25"/>
      <c r="L52" s="25"/>
      <c r="M52" s="25"/>
      <c r="N52" s="25"/>
      <c r="P52" s="25"/>
      <c r="Q52" s="25"/>
      <c r="R52" s="25"/>
      <c r="S52" s="25"/>
      <c r="T52" s="25"/>
      <c r="U52" s="25"/>
      <c r="W52" s="25"/>
      <c r="AB52" s="25"/>
      <c r="AF52" s="14"/>
      <c r="AG52" s="25"/>
      <c r="AK52" s="14"/>
      <c r="AL52" s="14"/>
    </row>
    <row r="53" spans="1:38" ht="16.5" customHeight="1">
      <c r="B53" s="15" t="s">
        <v>33</v>
      </c>
      <c r="C53" s="22">
        <v>418952</v>
      </c>
      <c r="D53" s="15"/>
      <c r="E53" s="22">
        <v>418953</v>
      </c>
      <c r="F53" s="22">
        <v>401454</v>
      </c>
      <c r="G53" s="22">
        <v>23955</v>
      </c>
      <c r="H53" s="22">
        <v>23</v>
      </c>
      <c r="J53" s="22">
        <v>24</v>
      </c>
      <c r="K53" s="22">
        <v>550025</v>
      </c>
      <c r="L53" s="22">
        <v>551187</v>
      </c>
      <c r="M53" s="22">
        <v>550028</v>
      </c>
      <c r="N53" s="22">
        <v>550028</v>
      </c>
      <c r="P53" s="22">
        <v>550029</v>
      </c>
      <c r="Q53" s="22">
        <v>550030</v>
      </c>
      <c r="R53" s="22">
        <v>550031</v>
      </c>
      <c r="S53" s="22">
        <v>550031</v>
      </c>
      <c r="T53" s="22">
        <v>550033</v>
      </c>
      <c r="U53" s="22">
        <v>550033</v>
      </c>
      <c r="W53" s="22">
        <v>655035</v>
      </c>
      <c r="X53" s="22">
        <v>865036</v>
      </c>
      <c r="Y53" s="22">
        <v>458038</v>
      </c>
      <c r="Z53" s="22">
        <v>458039</v>
      </c>
      <c r="AB53" s="22">
        <v>738040</v>
      </c>
      <c r="AC53" s="22">
        <v>738043</v>
      </c>
      <c r="AD53" s="22">
        <v>738045</v>
      </c>
      <c r="AE53" s="22">
        <v>738047</v>
      </c>
      <c r="AF53" s="14"/>
      <c r="AG53" s="22">
        <v>658049</v>
      </c>
      <c r="AH53" s="22">
        <v>618552</v>
      </c>
      <c r="AI53" s="22">
        <v>487754</v>
      </c>
      <c r="AJ53" s="22">
        <v>497757</v>
      </c>
      <c r="AK53" s="14"/>
      <c r="AL53" s="14"/>
    </row>
    <row r="54" spans="1:38" ht="16.5" customHeight="1">
      <c r="B54" s="15" t="s">
        <v>254</v>
      </c>
      <c r="C54" s="22"/>
      <c r="D54" s="15"/>
      <c r="E54" s="22"/>
      <c r="F54" s="22"/>
      <c r="G54" s="22"/>
      <c r="H54" s="22"/>
      <c r="J54" s="22"/>
      <c r="K54" s="22"/>
      <c r="L54" s="22"/>
      <c r="M54" s="22"/>
      <c r="N54" s="22"/>
      <c r="P54" s="22"/>
      <c r="Q54" s="22"/>
      <c r="R54" s="22"/>
      <c r="S54" s="22"/>
      <c r="T54" s="22"/>
      <c r="U54" s="22"/>
      <c r="W54" s="22"/>
      <c r="X54" s="22"/>
      <c r="Y54" s="22"/>
      <c r="Z54" s="22"/>
      <c r="AB54" s="22"/>
      <c r="AC54" s="22"/>
      <c r="AD54" s="22"/>
      <c r="AE54" s="22"/>
      <c r="AF54" s="14"/>
      <c r="AG54" s="224">
        <v>11204</v>
      </c>
      <c r="AH54" s="22">
        <v>12229</v>
      </c>
      <c r="AI54" s="22">
        <v>12230</v>
      </c>
      <c r="AJ54" s="22">
        <v>10264</v>
      </c>
      <c r="AK54" s="14"/>
      <c r="AL54" s="14"/>
    </row>
    <row r="55" spans="1:38" ht="16.5" customHeight="1">
      <c r="A55" s="14"/>
      <c r="B55" s="12" t="s">
        <v>61</v>
      </c>
      <c r="C55" s="22">
        <v>31474</v>
      </c>
      <c r="D55" s="12"/>
      <c r="E55" s="22">
        <v>4135</v>
      </c>
      <c r="F55" s="22">
        <v>-9705</v>
      </c>
      <c r="G55" s="22">
        <v>997978</v>
      </c>
      <c r="H55" s="22">
        <v>997825</v>
      </c>
      <c r="J55" s="22">
        <v>975442</v>
      </c>
      <c r="K55" s="22">
        <v>997932</v>
      </c>
      <c r="L55" s="22">
        <v>997932</v>
      </c>
      <c r="M55" s="22">
        <v>1006588</v>
      </c>
      <c r="N55" s="22">
        <v>1006588</v>
      </c>
      <c r="P55" s="22">
        <v>997932</v>
      </c>
      <c r="Q55" s="22">
        <v>889749</v>
      </c>
      <c r="R55" s="22">
        <v>766155</v>
      </c>
      <c r="S55" s="22">
        <v>766155</v>
      </c>
      <c r="T55" s="22">
        <v>766243</v>
      </c>
      <c r="U55" s="22">
        <v>766243</v>
      </c>
      <c r="W55" s="22">
        <v>766243</v>
      </c>
      <c r="X55" s="22">
        <v>766243</v>
      </c>
      <c r="Y55" s="22">
        <v>766243</v>
      </c>
      <c r="Z55" s="22">
        <v>769075</v>
      </c>
      <c r="AB55" s="22">
        <v>769075</v>
      </c>
      <c r="AC55" s="22">
        <v>769075</v>
      </c>
      <c r="AD55" s="22">
        <v>769075</v>
      </c>
      <c r="AE55" s="22">
        <v>655517</v>
      </c>
      <c r="AF55" s="14"/>
      <c r="AG55" s="22">
        <v>655517</v>
      </c>
      <c r="AH55" s="22">
        <v>655517</v>
      </c>
      <c r="AI55" s="22">
        <v>1104482</v>
      </c>
      <c r="AJ55" s="22">
        <v>1105207</v>
      </c>
      <c r="AK55" s="14"/>
      <c r="AL55" s="14"/>
    </row>
    <row r="56" spans="1:38" ht="16.5" customHeight="1">
      <c r="A56" s="14"/>
      <c r="B56" s="12" t="s">
        <v>134</v>
      </c>
      <c r="C56" s="22">
        <v>119193</v>
      </c>
      <c r="D56" s="12"/>
      <c r="E56" s="22">
        <v>172089</v>
      </c>
      <c r="F56" s="22">
        <v>165726</v>
      </c>
      <c r="G56" s="22">
        <v>170973</v>
      </c>
      <c r="H56" s="22">
        <v>109859</v>
      </c>
      <c r="J56" s="153">
        <v>161794</v>
      </c>
      <c r="K56" s="22">
        <v>148819</v>
      </c>
      <c r="L56" s="22">
        <v>140849</v>
      </c>
      <c r="M56" s="22">
        <v>119431</v>
      </c>
      <c r="N56" s="22">
        <v>132852</v>
      </c>
      <c r="P56" s="22">
        <v>115271</v>
      </c>
      <c r="Q56" s="22">
        <v>121450</v>
      </c>
      <c r="R56" s="22">
        <v>136493</v>
      </c>
      <c r="S56" s="22">
        <v>149914</v>
      </c>
      <c r="T56" s="22">
        <v>132865</v>
      </c>
      <c r="U56" s="22">
        <v>176657</v>
      </c>
      <c r="W56" s="22">
        <v>132295</v>
      </c>
      <c r="X56" s="22">
        <v>127688</v>
      </c>
      <c r="Y56" s="22">
        <v>142173</v>
      </c>
      <c r="Z56" s="22">
        <v>162692</v>
      </c>
      <c r="AB56" s="22">
        <v>164054</v>
      </c>
      <c r="AC56" s="22">
        <v>167688</v>
      </c>
      <c r="AD56" s="22">
        <v>167150</v>
      </c>
      <c r="AE56" s="22">
        <v>182086</v>
      </c>
      <c r="AF56" s="14"/>
      <c r="AG56" s="22">
        <v>182575</v>
      </c>
      <c r="AH56" s="22">
        <v>187680</v>
      </c>
      <c r="AI56" s="22">
        <v>196794</v>
      </c>
      <c r="AJ56" s="22">
        <v>195402</v>
      </c>
      <c r="AK56" s="14"/>
      <c r="AL56" s="14"/>
    </row>
    <row r="57" spans="1:38" ht="16.5" customHeight="1">
      <c r="A57" s="14"/>
      <c r="B57" s="12" t="s">
        <v>132</v>
      </c>
      <c r="C57" s="153">
        <v>0</v>
      </c>
      <c r="D57" s="12"/>
      <c r="E57" s="153">
        <v>0</v>
      </c>
      <c r="F57" s="153">
        <v>0</v>
      </c>
      <c r="G57" s="153">
        <v>0</v>
      </c>
      <c r="H57" s="153">
        <v>0</v>
      </c>
      <c r="J57" s="153">
        <v>0</v>
      </c>
      <c r="K57" s="153">
        <v>0</v>
      </c>
      <c r="L57" s="153">
        <v>0</v>
      </c>
      <c r="M57" s="153">
        <v>0</v>
      </c>
      <c r="N57" s="153">
        <v>0</v>
      </c>
      <c r="P57" s="153">
        <v>0</v>
      </c>
      <c r="Q57" s="153">
        <v>0</v>
      </c>
      <c r="R57" s="153">
        <v>0</v>
      </c>
      <c r="S57" s="153">
        <v>0</v>
      </c>
      <c r="T57" s="153">
        <v>0</v>
      </c>
      <c r="U57" s="153">
        <v>0</v>
      </c>
      <c r="W57" s="153">
        <v>0</v>
      </c>
      <c r="X57" s="153">
        <v>0</v>
      </c>
      <c r="Y57" s="153">
        <v>0</v>
      </c>
      <c r="Z57" s="153">
        <v>0</v>
      </c>
      <c r="AB57" s="153">
        <v>0</v>
      </c>
      <c r="AC57" s="153">
        <v>0</v>
      </c>
      <c r="AD57" s="153">
        <v>0</v>
      </c>
      <c r="AE57" s="153">
        <v>0</v>
      </c>
      <c r="AF57" s="14"/>
      <c r="AG57" s="153">
        <v>0</v>
      </c>
      <c r="AH57" s="153">
        <v>0</v>
      </c>
      <c r="AI57" s="153">
        <v>0</v>
      </c>
      <c r="AJ57" s="153">
        <v>0</v>
      </c>
      <c r="AK57" s="14"/>
      <c r="AL57" s="14"/>
    </row>
    <row r="58" spans="1:38" ht="16.5" customHeight="1">
      <c r="B58" s="15" t="s">
        <v>42</v>
      </c>
      <c r="C58" s="22">
        <v>8285</v>
      </c>
      <c r="D58" s="15"/>
      <c r="E58" s="22">
        <v>6890</v>
      </c>
      <c r="F58" s="22">
        <v>6890</v>
      </c>
      <c r="G58" s="22">
        <v>6890</v>
      </c>
      <c r="H58" s="22">
        <v>8406</v>
      </c>
      <c r="J58" s="22">
        <v>6890</v>
      </c>
      <c r="K58" s="22">
        <v>6890</v>
      </c>
      <c r="L58" s="22">
        <v>6891</v>
      </c>
      <c r="M58" s="153">
        <v>0</v>
      </c>
      <c r="N58" s="153">
        <v>0</v>
      </c>
      <c r="P58" s="22">
        <v>8656</v>
      </c>
      <c r="Q58" s="22">
        <v>8656</v>
      </c>
      <c r="R58" s="153">
        <v>0</v>
      </c>
      <c r="S58" s="153">
        <v>0</v>
      </c>
      <c r="T58" s="153">
        <v>0</v>
      </c>
      <c r="U58" s="153">
        <v>0</v>
      </c>
      <c r="W58" s="153">
        <v>0</v>
      </c>
      <c r="X58" s="153">
        <v>0</v>
      </c>
      <c r="Y58" s="153">
        <v>0</v>
      </c>
      <c r="Z58" s="153">
        <v>0</v>
      </c>
      <c r="AB58" s="153">
        <v>0</v>
      </c>
      <c r="AC58" s="153">
        <v>0</v>
      </c>
      <c r="AD58" s="153">
        <v>0</v>
      </c>
      <c r="AE58" s="153">
        <v>0</v>
      </c>
      <c r="AF58" s="14"/>
      <c r="AG58" s="153">
        <v>0</v>
      </c>
      <c r="AH58" s="153">
        <v>0</v>
      </c>
      <c r="AI58" s="153">
        <v>0</v>
      </c>
      <c r="AJ58" s="153">
        <v>0</v>
      </c>
      <c r="AK58" s="14"/>
      <c r="AL58" s="14"/>
    </row>
    <row r="59" spans="1:38" ht="16.5" customHeight="1">
      <c r="B59" s="218" t="s">
        <v>191</v>
      </c>
      <c r="C59" s="225">
        <v>16480</v>
      </c>
      <c r="D59" s="227"/>
      <c r="E59" s="195">
        <v>16695</v>
      </c>
      <c r="F59" s="225">
        <v>17131</v>
      </c>
      <c r="G59" s="225">
        <v>18081</v>
      </c>
      <c r="H59" s="225">
        <v>23744</v>
      </c>
      <c r="I59" s="226"/>
      <c r="J59" s="195">
        <v>23804</v>
      </c>
      <c r="K59" s="225">
        <v>24732</v>
      </c>
      <c r="L59" s="225">
        <v>26552</v>
      </c>
      <c r="M59" s="225">
        <v>6819</v>
      </c>
      <c r="N59" s="225">
        <v>6819</v>
      </c>
      <c r="O59" s="226"/>
      <c r="P59" s="225">
        <v>6819</v>
      </c>
      <c r="Q59" s="195">
        <f>1600+6819</f>
        <v>8419</v>
      </c>
      <c r="R59" s="195">
        <f>2840+6819</f>
        <v>9659</v>
      </c>
      <c r="S59" s="195">
        <v>9659</v>
      </c>
      <c r="T59" s="195">
        <v>13075</v>
      </c>
      <c r="U59" s="195">
        <v>13075</v>
      </c>
      <c r="W59" s="195">
        <v>13075</v>
      </c>
      <c r="X59" s="195">
        <v>13075</v>
      </c>
      <c r="Y59" s="195">
        <v>13075</v>
      </c>
      <c r="Z59" s="195">
        <v>11908</v>
      </c>
      <c r="AB59" s="195">
        <v>11735</v>
      </c>
      <c r="AC59" s="195">
        <v>11062</v>
      </c>
      <c r="AD59" s="195">
        <v>9389</v>
      </c>
      <c r="AE59" s="195">
        <v>1865</v>
      </c>
      <c r="AF59" s="14"/>
      <c r="AG59" s="195">
        <v>1691</v>
      </c>
      <c r="AH59" s="195">
        <v>0</v>
      </c>
      <c r="AI59" s="195"/>
      <c r="AJ59" s="195">
        <v>2785</v>
      </c>
      <c r="AK59" s="14"/>
      <c r="AL59" s="14"/>
    </row>
    <row r="60" spans="1:38" ht="16.5" customHeight="1">
      <c r="B60" s="227" t="s">
        <v>133</v>
      </c>
      <c r="C60" s="195">
        <v>0</v>
      </c>
      <c r="D60" s="227"/>
      <c r="E60" s="195">
        <v>0</v>
      </c>
      <c r="F60" s="195">
        <v>0</v>
      </c>
      <c r="G60" s="195">
        <v>0</v>
      </c>
      <c r="H60" s="195">
        <v>0</v>
      </c>
      <c r="I60" s="226"/>
      <c r="J60" s="195">
        <v>0</v>
      </c>
      <c r="K60" s="195">
        <v>0</v>
      </c>
      <c r="L60" s="195">
        <v>0</v>
      </c>
      <c r="M60" s="195">
        <v>0</v>
      </c>
      <c r="N60" s="195">
        <v>0</v>
      </c>
      <c r="O60" s="226"/>
      <c r="P60" s="195">
        <v>0</v>
      </c>
      <c r="Q60" s="195">
        <v>0</v>
      </c>
      <c r="R60" s="195">
        <v>0</v>
      </c>
      <c r="S60" s="195">
        <v>0</v>
      </c>
      <c r="T60" s="195">
        <v>0</v>
      </c>
      <c r="U60" s="195">
        <v>0</v>
      </c>
      <c r="W60" s="195">
        <v>0</v>
      </c>
      <c r="X60" s="195">
        <v>0</v>
      </c>
      <c r="Y60" s="195">
        <v>0</v>
      </c>
      <c r="Z60" s="195">
        <v>0</v>
      </c>
      <c r="AB60" s="195">
        <v>0</v>
      </c>
      <c r="AC60" s="195">
        <v>0</v>
      </c>
      <c r="AD60" s="195">
        <v>0</v>
      </c>
      <c r="AE60" s="195">
        <v>0</v>
      </c>
      <c r="AF60" s="14"/>
      <c r="AG60" s="195">
        <v>0</v>
      </c>
      <c r="AH60" s="195">
        <v>0</v>
      </c>
      <c r="AI60" s="195">
        <v>0</v>
      </c>
      <c r="AJ60" s="195">
        <v>0</v>
      </c>
      <c r="AK60" s="14"/>
      <c r="AL60" s="14"/>
    </row>
    <row r="61" spans="1:38" ht="16.5" customHeight="1">
      <c r="B61" s="15" t="s">
        <v>136</v>
      </c>
      <c r="C61" s="153">
        <v>0</v>
      </c>
      <c r="D61" s="15"/>
      <c r="E61" s="153">
        <v>0</v>
      </c>
      <c r="F61" s="153">
        <v>0</v>
      </c>
      <c r="G61" s="153">
        <v>0</v>
      </c>
      <c r="H61" s="153">
        <v>0</v>
      </c>
      <c r="J61" s="153">
        <v>0</v>
      </c>
      <c r="K61" s="153">
        <v>0</v>
      </c>
      <c r="L61" s="153">
        <v>0</v>
      </c>
      <c r="M61" s="153">
        <v>0</v>
      </c>
      <c r="N61" s="153">
        <v>0</v>
      </c>
      <c r="P61" s="153">
        <v>0</v>
      </c>
      <c r="Q61" s="153">
        <v>0</v>
      </c>
      <c r="R61" s="153">
        <v>0</v>
      </c>
      <c r="S61" s="153">
        <v>0</v>
      </c>
      <c r="T61" s="153">
        <v>0</v>
      </c>
      <c r="U61" s="153">
        <v>0</v>
      </c>
      <c r="W61" s="153">
        <v>0</v>
      </c>
      <c r="X61" s="153">
        <v>0</v>
      </c>
      <c r="Y61" s="153">
        <v>0</v>
      </c>
      <c r="Z61" s="153">
        <v>0</v>
      </c>
      <c r="AB61" s="153">
        <v>0</v>
      </c>
      <c r="AC61" s="153">
        <v>0</v>
      </c>
      <c r="AD61" s="153">
        <v>0</v>
      </c>
      <c r="AE61" s="153">
        <v>85</v>
      </c>
      <c r="AF61" s="14"/>
      <c r="AG61" s="153">
        <v>74</v>
      </c>
      <c r="AH61" s="153">
        <v>0</v>
      </c>
      <c r="AI61" s="153">
        <v>0</v>
      </c>
      <c r="AJ61" s="153">
        <v>0</v>
      </c>
      <c r="AK61" s="14"/>
      <c r="AL61" s="14"/>
    </row>
    <row r="62" spans="1:38" ht="16.5" customHeight="1">
      <c r="B62" s="15" t="s">
        <v>137</v>
      </c>
      <c r="C62" s="153">
        <v>0</v>
      </c>
      <c r="D62" s="15"/>
      <c r="E62" s="153">
        <v>0</v>
      </c>
      <c r="F62" s="153">
        <v>0</v>
      </c>
      <c r="G62" s="153">
        <v>0</v>
      </c>
      <c r="H62" s="153">
        <v>0</v>
      </c>
      <c r="J62" s="153">
        <v>0</v>
      </c>
      <c r="K62" s="153">
        <v>0</v>
      </c>
      <c r="L62" s="153">
        <v>0</v>
      </c>
      <c r="M62" s="153">
        <v>0</v>
      </c>
      <c r="N62" s="153">
        <v>0</v>
      </c>
      <c r="P62" s="153">
        <v>0</v>
      </c>
      <c r="Q62" s="153">
        <v>0</v>
      </c>
      <c r="R62" s="153">
        <v>0</v>
      </c>
      <c r="S62" s="153">
        <v>0</v>
      </c>
      <c r="T62" s="153">
        <v>0</v>
      </c>
      <c r="U62" s="153">
        <v>0</v>
      </c>
      <c r="W62" s="153">
        <v>0</v>
      </c>
      <c r="X62" s="153">
        <v>0</v>
      </c>
      <c r="Y62" s="153">
        <v>0</v>
      </c>
      <c r="Z62" s="153">
        <v>0</v>
      </c>
      <c r="AB62" s="153">
        <v>0</v>
      </c>
      <c r="AC62" s="153">
        <v>0</v>
      </c>
      <c r="AD62" s="153">
        <v>0</v>
      </c>
      <c r="AE62" s="153">
        <v>0</v>
      </c>
      <c r="AF62" s="14"/>
      <c r="AG62" s="153">
        <v>0</v>
      </c>
      <c r="AH62" s="153">
        <v>0</v>
      </c>
      <c r="AI62" s="153">
        <v>0</v>
      </c>
      <c r="AJ62" s="153">
        <v>0</v>
      </c>
      <c r="AK62" s="14"/>
      <c r="AL62" s="14"/>
    </row>
    <row r="63" spans="1:38" ht="16.5" customHeight="1">
      <c r="A63" s="14"/>
      <c r="B63" s="13" t="s">
        <v>266</v>
      </c>
      <c r="C63" s="153">
        <v>0</v>
      </c>
      <c r="D63" s="15"/>
      <c r="E63" s="153">
        <v>0</v>
      </c>
      <c r="F63" s="22">
        <f>53595-1</f>
        <v>53594</v>
      </c>
      <c r="G63" s="22">
        <v>-53594</v>
      </c>
      <c r="H63" s="153">
        <v>0</v>
      </c>
      <c r="J63" s="153">
        <v>0</v>
      </c>
      <c r="K63" s="153">
        <v>0</v>
      </c>
      <c r="L63" s="153">
        <v>0</v>
      </c>
      <c r="M63" s="153">
        <v>0</v>
      </c>
      <c r="N63" s="153">
        <v>0</v>
      </c>
      <c r="P63" s="153">
        <v>0</v>
      </c>
      <c r="Q63" s="153">
        <v>0</v>
      </c>
      <c r="R63" s="153">
        <v>0</v>
      </c>
      <c r="S63" s="153">
        <v>0</v>
      </c>
      <c r="T63" s="153">
        <v>0</v>
      </c>
      <c r="U63" s="153">
        <v>0</v>
      </c>
      <c r="W63" s="153">
        <v>0</v>
      </c>
      <c r="X63" s="153">
        <v>0</v>
      </c>
      <c r="Y63" s="153">
        <v>0</v>
      </c>
      <c r="Z63" s="153">
        <v>0</v>
      </c>
      <c r="AB63" s="153">
        <v>0</v>
      </c>
      <c r="AC63" s="153">
        <v>0</v>
      </c>
      <c r="AD63" s="153">
        <v>0</v>
      </c>
      <c r="AE63" s="153">
        <v>0</v>
      </c>
      <c r="AF63" s="14"/>
      <c r="AG63" s="153">
        <v>0</v>
      </c>
      <c r="AH63" s="153">
        <v>0</v>
      </c>
      <c r="AI63" s="153">
        <v>0</v>
      </c>
      <c r="AJ63" s="153">
        <v>0</v>
      </c>
      <c r="AK63" s="14"/>
      <c r="AL63" s="14"/>
    </row>
    <row r="64" spans="1:38" ht="12" customHeight="1">
      <c r="B64" s="15"/>
      <c r="C64" s="22"/>
      <c r="D64" s="15"/>
      <c r="E64" s="22"/>
      <c r="F64" s="22"/>
      <c r="G64" s="22"/>
      <c r="H64" s="22"/>
      <c r="J64" s="22"/>
      <c r="K64" s="22"/>
      <c r="L64" s="22"/>
      <c r="M64" s="22"/>
      <c r="N64" s="22"/>
      <c r="P64" s="22"/>
      <c r="Q64" s="22"/>
      <c r="R64" s="22"/>
      <c r="S64" s="22"/>
      <c r="T64" s="22"/>
      <c r="U64" s="22"/>
      <c r="W64" s="22"/>
      <c r="AB64" s="22"/>
      <c r="AF64" s="14"/>
      <c r="AG64" s="22"/>
      <c r="AK64" s="14"/>
      <c r="AL64" s="14"/>
    </row>
    <row r="65" spans="2:38" ht="13">
      <c r="B65" s="24" t="s">
        <v>57</v>
      </c>
      <c r="C65" s="25">
        <f>SUM(C53:C64)</f>
        <v>594384</v>
      </c>
      <c r="D65" s="24"/>
      <c r="E65" s="25">
        <f>SUM(E53:E64)</f>
        <v>618762</v>
      </c>
      <c r="F65" s="25">
        <f>SUM(F53:F64)</f>
        <v>635090</v>
      </c>
      <c r="G65" s="25">
        <f>SUM(G53:G64)</f>
        <v>1164283</v>
      </c>
      <c r="H65" s="25">
        <f>SUM(H53:H64)</f>
        <v>1139857</v>
      </c>
      <c r="I65" s="26"/>
      <c r="J65" s="25">
        <f>SUM(J53:J64)</f>
        <v>1167954</v>
      </c>
      <c r="K65" s="25">
        <f>SUM(K53:K64)</f>
        <v>1728398</v>
      </c>
      <c r="L65" s="25">
        <f>SUM(L53:L64)</f>
        <v>1723411</v>
      </c>
      <c r="M65" s="25">
        <f>SUM(M53:M64)</f>
        <v>1682866</v>
      </c>
      <c r="N65" s="25">
        <f>SUM(N53:N64)</f>
        <v>1696287</v>
      </c>
      <c r="P65" s="25">
        <f t="shared" ref="P65:U65" si="4">SUM(P53:P64)</f>
        <v>1678707</v>
      </c>
      <c r="Q65" s="25">
        <f t="shared" si="4"/>
        <v>1578304</v>
      </c>
      <c r="R65" s="25">
        <f t="shared" si="4"/>
        <v>1462338</v>
      </c>
      <c r="S65" s="25">
        <f t="shared" si="4"/>
        <v>1475759</v>
      </c>
      <c r="T65" s="25">
        <f t="shared" si="4"/>
        <v>1462216</v>
      </c>
      <c r="U65" s="25">
        <f t="shared" si="4"/>
        <v>1506008</v>
      </c>
      <c r="W65" s="25">
        <f>SUM(W53:W64)</f>
        <v>1566648</v>
      </c>
      <c r="X65" s="25">
        <f>SUM(X53:X64)</f>
        <v>1772042</v>
      </c>
      <c r="Y65" s="25">
        <f>SUM(Y53:Y64)</f>
        <v>1379529</v>
      </c>
      <c r="Z65" s="25">
        <f>SUM(Z53:Z64)</f>
        <v>1401714</v>
      </c>
      <c r="AB65" s="25">
        <f>SUM(AB53:AB64)</f>
        <v>1682904</v>
      </c>
      <c r="AC65" s="25">
        <f>SUM(AC53:AC64)</f>
        <v>1685868</v>
      </c>
      <c r="AD65" s="25">
        <f>SUM(AD53:AD64)</f>
        <v>1683659</v>
      </c>
      <c r="AE65" s="25">
        <f>SUM(AE53:AE64)</f>
        <v>1577600</v>
      </c>
      <c r="AF65" s="14"/>
      <c r="AG65" s="25">
        <f>SUM(AG53:AG64)</f>
        <v>1509110</v>
      </c>
      <c r="AH65" s="25">
        <f>SUM(AH53:AH64)</f>
        <v>1473978</v>
      </c>
      <c r="AI65" s="25">
        <f>SUM(AI53:AI64)</f>
        <v>1801260</v>
      </c>
      <c r="AJ65" s="25">
        <f>SUM(AJ53:AJ64)</f>
        <v>1811415</v>
      </c>
      <c r="AK65" s="14"/>
      <c r="AL65" s="14"/>
    </row>
    <row r="66" spans="2:38" ht="3.75" customHeight="1">
      <c r="B66" s="15"/>
      <c r="C66" s="22"/>
      <c r="D66" s="15"/>
      <c r="E66" s="22"/>
      <c r="F66" s="22"/>
      <c r="G66" s="22"/>
      <c r="H66" s="22"/>
      <c r="J66" s="22"/>
      <c r="K66" s="22"/>
      <c r="L66" s="22"/>
      <c r="M66" s="22"/>
      <c r="N66" s="22"/>
      <c r="P66" s="22"/>
      <c r="Q66" s="22"/>
      <c r="R66" s="22"/>
      <c r="S66" s="22"/>
      <c r="T66" s="22"/>
      <c r="U66" s="22"/>
      <c r="W66" s="22"/>
      <c r="AB66" s="22"/>
      <c r="AF66" s="14"/>
      <c r="AG66" s="22"/>
      <c r="AK66" s="14"/>
      <c r="AL66" s="14"/>
    </row>
    <row r="67" spans="2:38" ht="20.25" customHeight="1">
      <c r="B67" s="219" t="s">
        <v>58</v>
      </c>
      <c r="C67" s="220">
        <f>+C51+C65</f>
        <v>1204472</v>
      </c>
      <c r="D67" s="24"/>
      <c r="E67" s="220">
        <f>+E51+E65</f>
        <v>1548214</v>
      </c>
      <c r="F67" s="220">
        <f>+F51+F65</f>
        <v>1332019</v>
      </c>
      <c r="G67" s="220">
        <f>+G51+G65</f>
        <v>1643137</v>
      </c>
      <c r="H67" s="220">
        <f>+H51+H65</f>
        <v>1345985</v>
      </c>
      <c r="J67" s="220">
        <f>+J51+J65</f>
        <v>1661133</v>
      </c>
      <c r="K67" s="220">
        <f>+K51+K65</f>
        <v>2224002</v>
      </c>
      <c r="L67" s="220">
        <f>+L51+L65</f>
        <v>2132564</v>
      </c>
      <c r="M67" s="220">
        <f>+M51+M65</f>
        <v>2031213</v>
      </c>
      <c r="N67" s="220">
        <f>+N51+N65</f>
        <v>2044634</v>
      </c>
      <c r="P67" s="220">
        <f t="shared" ref="P67:U67" si="5">+P51+P65</f>
        <v>2075906</v>
      </c>
      <c r="Q67" s="220">
        <f t="shared" si="5"/>
        <v>1972580</v>
      </c>
      <c r="R67" s="220">
        <f t="shared" si="5"/>
        <v>1829234</v>
      </c>
      <c r="S67" s="220">
        <f t="shared" si="5"/>
        <v>1842655</v>
      </c>
      <c r="T67" s="220">
        <f t="shared" si="5"/>
        <v>1765301</v>
      </c>
      <c r="U67" s="220">
        <f t="shared" si="5"/>
        <v>1853573</v>
      </c>
      <c r="W67" s="220">
        <f>+W51+W65</f>
        <v>2346713</v>
      </c>
      <c r="X67" s="220">
        <f>+X51+X65</f>
        <v>2220637</v>
      </c>
      <c r="Y67" s="220">
        <f>+Y51+Y65</f>
        <v>2003900</v>
      </c>
      <c r="Z67" s="220">
        <f>+Z51+Z65</f>
        <v>1978407</v>
      </c>
      <c r="AB67" s="220">
        <f>+AB51+AB65</f>
        <v>2172480</v>
      </c>
      <c r="AC67" s="220">
        <f>+AC51+AC65</f>
        <v>2259228</v>
      </c>
      <c r="AD67" s="220">
        <f>+AD51+AD65</f>
        <v>2159940</v>
      </c>
      <c r="AE67" s="220">
        <f>+AE51+AE65</f>
        <v>1970469</v>
      </c>
      <c r="AF67" s="14"/>
      <c r="AG67" s="220">
        <f>+AG51+AG65</f>
        <v>2122691</v>
      </c>
      <c r="AH67" s="220">
        <f>+AH51+AH65</f>
        <v>1993561</v>
      </c>
      <c r="AI67" s="220">
        <f>+AI51+AI65</f>
        <v>2022684</v>
      </c>
      <c r="AJ67" s="220">
        <f>+AJ51+AJ65</f>
        <v>1987815</v>
      </c>
      <c r="AK67" s="14"/>
      <c r="AL67" s="14"/>
    </row>
    <row r="68" spans="2:38" ht="20.25" customHeight="1">
      <c r="B68" s="221" t="s">
        <v>48</v>
      </c>
      <c r="C68" s="222">
        <v>625.10548413715799</v>
      </c>
      <c r="D68" s="223"/>
      <c r="E68" s="222">
        <v>787.76687765860015</v>
      </c>
      <c r="F68" s="222">
        <v>708.07254982218694</v>
      </c>
      <c r="G68" s="222">
        <v>810.03362123363308</v>
      </c>
      <c r="H68" s="222">
        <v>562.59456793426011</v>
      </c>
      <c r="J68" s="222">
        <v>644.83725082975866</v>
      </c>
      <c r="K68" s="222">
        <v>860.31232713501549</v>
      </c>
      <c r="L68" s="222">
        <v>683.08936110239142</v>
      </c>
      <c r="M68" s="222">
        <v>644.93803719355958</v>
      </c>
      <c r="N68" s="222">
        <v>649.19938910356348</v>
      </c>
      <c r="P68" s="222">
        <v>686.85162208215468</v>
      </c>
      <c r="Q68" s="222">
        <v>676.43296812578228</v>
      </c>
      <c r="R68" s="222">
        <v>635.16172155766594</v>
      </c>
      <c r="S68" s="222">
        <v>640</v>
      </c>
      <c r="T68" s="222">
        <f>+T67/3000.71</f>
        <v>588.29443698324724</v>
      </c>
      <c r="U68" s="222">
        <v>617.71147495092828</v>
      </c>
      <c r="W68" s="222">
        <v>814.7630058606228</v>
      </c>
      <c r="X68" s="222">
        <v>731</v>
      </c>
      <c r="Y68" s="222">
        <v>682</v>
      </c>
      <c r="Z68" s="222">
        <f>+Z67/2984</f>
        <v>663.00502680965144</v>
      </c>
      <c r="AB68" s="222">
        <f>+AB67/2780.47</f>
        <v>781.33552960470718</v>
      </c>
      <c r="AC68" s="222">
        <f>+AC67/2930.8</f>
        <v>770.85710386242658</v>
      </c>
      <c r="AD68" s="222">
        <f>+AD67/2972.18</f>
        <v>726.71910853313057</v>
      </c>
      <c r="AE68" s="222">
        <f>+AE67/3249.75</f>
        <v>606.34479575351952</v>
      </c>
      <c r="AF68" s="14"/>
      <c r="AG68" s="222">
        <f>+AG67/3174.79</f>
        <v>668.60831740052095</v>
      </c>
      <c r="AH68" s="222">
        <f>+AH67/3205.67</f>
        <v>621.88590840604297</v>
      </c>
      <c r="AI68" s="222">
        <f>+AI67/3462.01</f>
        <v>584.25134531673791</v>
      </c>
      <c r="AJ68" s="222">
        <f>+AJ67/3277.14</f>
        <v>606.57005803841162</v>
      </c>
      <c r="AK68" s="14"/>
      <c r="AL68" s="14"/>
    </row>
    <row r="69" spans="2:38" ht="12" customHeight="1">
      <c r="B69" s="210"/>
      <c r="C69" s="211"/>
      <c r="D69" s="210"/>
      <c r="E69" s="211"/>
      <c r="F69" s="211"/>
      <c r="G69" s="211"/>
      <c r="H69" s="211"/>
      <c r="J69" s="211"/>
      <c r="K69" s="211"/>
      <c r="L69" s="211"/>
      <c r="M69" s="211"/>
      <c r="N69" s="211"/>
      <c r="P69" s="211"/>
      <c r="Q69" s="211"/>
      <c r="R69" s="211"/>
      <c r="S69" s="211"/>
      <c r="T69" s="211"/>
      <c r="U69" s="211"/>
      <c r="W69" s="211"/>
      <c r="AB69" s="211"/>
      <c r="AF69" s="14"/>
      <c r="AG69" s="211"/>
      <c r="AK69" s="14"/>
      <c r="AL69" s="14"/>
    </row>
    <row r="70" spans="2:38" ht="20.25" customHeight="1">
      <c r="B70" s="219" t="s">
        <v>52</v>
      </c>
      <c r="C70" s="220">
        <f>SUM(C75:C81)</f>
        <v>13138349</v>
      </c>
      <c r="D70" s="24"/>
      <c r="E70" s="220">
        <f>SUM(E75:E81)</f>
        <v>13306293</v>
      </c>
      <c r="F70" s="220">
        <f>SUM(F75:F81)</f>
        <v>13542505</v>
      </c>
      <c r="G70" s="220">
        <f>SUM(G75:G81)</f>
        <v>13681450</v>
      </c>
      <c r="H70" s="220">
        <f>SUM(H75:H81)</f>
        <v>13866451</v>
      </c>
      <c r="J70" s="220">
        <f>SUM(J75:J81)</f>
        <v>13291031</v>
      </c>
      <c r="K70" s="220">
        <f>SUM(K75:K81)</f>
        <v>13747522</v>
      </c>
      <c r="L70" s="220">
        <f>SUM(L75:L81)</f>
        <v>14333589</v>
      </c>
      <c r="M70" s="220">
        <f>SUM(M75:M81)</f>
        <v>14138212</v>
      </c>
      <c r="N70" s="220">
        <f>SUM(N75:N81)</f>
        <v>14283203</v>
      </c>
      <c r="P70" s="220">
        <f t="shared" ref="P70:U70" si="6">SUM(P75:P81)</f>
        <v>14134958</v>
      </c>
      <c r="Q70" s="220">
        <f t="shared" si="6"/>
        <v>14033125</v>
      </c>
      <c r="R70" s="220">
        <f t="shared" si="6"/>
        <v>14090713</v>
      </c>
      <c r="S70" s="220">
        <f t="shared" si="6"/>
        <v>14208975</v>
      </c>
      <c r="T70" s="220">
        <f t="shared" si="6"/>
        <v>15229898</v>
      </c>
      <c r="U70" s="220">
        <f t="shared" si="6"/>
        <v>15229898</v>
      </c>
      <c r="W70" s="220">
        <f>SUM(W75:W81)</f>
        <v>14942821</v>
      </c>
      <c r="X70" s="220">
        <f>SUM(X75:X81)</f>
        <v>15248447</v>
      </c>
      <c r="Y70" s="220">
        <f>SUM(Y75:Y81)</f>
        <v>15500361</v>
      </c>
      <c r="Z70" s="220">
        <f>SUM(Z75:Z81)</f>
        <v>15545143</v>
      </c>
      <c r="AB70" s="220">
        <f>SUM(AB75:AB81)</f>
        <v>15425553</v>
      </c>
      <c r="AC70" s="220">
        <f>SUM(AC75:AC81)</f>
        <v>15453214</v>
      </c>
      <c r="AD70" s="220">
        <f>SUM(AD75:AD81)</f>
        <v>15541536</v>
      </c>
      <c r="AE70" s="220">
        <f>SUM(AE75:AE81)</f>
        <v>15975935</v>
      </c>
      <c r="AF70" s="14"/>
      <c r="AG70" s="220">
        <f>SUM(AG75:AG81)</f>
        <v>15838299</v>
      </c>
      <c r="AH70" s="220">
        <f>SUM(AH75:AH81)</f>
        <v>15847486</v>
      </c>
      <c r="AI70" s="220">
        <f>SUM(AI75:AI81)</f>
        <v>16431732</v>
      </c>
      <c r="AJ70" s="220">
        <f>SUM(AJ75:AJ81)</f>
        <v>16172697</v>
      </c>
      <c r="AK70" s="14"/>
      <c r="AL70" s="14"/>
    </row>
    <row r="71" spans="2:38" ht="20.25" customHeight="1">
      <c r="B71" s="221" t="s">
        <v>48</v>
      </c>
      <c r="C71" s="222">
        <v>6818.634233430038</v>
      </c>
      <c r="D71" s="223"/>
      <c r="E71" s="222">
        <v>6770.5477988317425</v>
      </c>
      <c r="F71" s="222">
        <v>7198.9033537282248</v>
      </c>
      <c r="G71" s="222">
        <v>6744.6807461744756</v>
      </c>
      <c r="H71" s="222">
        <v>5795.8966921077053</v>
      </c>
      <c r="J71" s="222">
        <v>5159.4615787737039</v>
      </c>
      <c r="K71" s="222">
        <v>5317.9640324783086</v>
      </c>
      <c r="L71" s="222">
        <v>4591.2442263464382</v>
      </c>
      <c r="M71" s="222">
        <v>4489.0765747887745</v>
      </c>
      <c r="N71" s="222">
        <v>4535.1132095241428</v>
      </c>
      <c r="P71" s="222">
        <v>4676.8104289708344</v>
      </c>
      <c r="Q71" s="222">
        <v>4812.2095914133361</v>
      </c>
      <c r="R71" s="222">
        <v>4892.6936231531799</v>
      </c>
      <c r="S71" s="222">
        <v>4934</v>
      </c>
      <c r="T71" s="222">
        <f>+T70/3000.71</f>
        <v>5075.4314812161119</v>
      </c>
      <c r="U71" s="222">
        <v>5075.4314812161119</v>
      </c>
      <c r="W71" s="222">
        <v>5188.0471766241708</v>
      </c>
      <c r="X71" s="222">
        <v>5019</v>
      </c>
      <c r="Y71" s="222">
        <v>5278</v>
      </c>
      <c r="Z71" s="222">
        <f>+Z70/2984</f>
        <v>5209.4983243967827</v>
      </c>
      <c r="AB71" s="222">
        <f>+AB70/2780.47</f>
        <v>5547.8221307908379</v>
      </c>
      <c r="AC71" s="222">
        <f>+AC70/2930.8</f>
        <v>5272.6948273508933</v>
      </c>
      <c r="AD71" s="222">
        <f>+AD70/2972.18</f>
        <v>5229.0022811539011</v>
      </c>
      <c r="AE71" s="222">
        <f>+AE70/3249.75</f>
        <v>4916.0504654204169</v>
      </c>
      <c r="AF71" s="14"/>
      <c r="AG71" s="222">
        <f>+AG70/3174.79</f>
        <v>4988.7705958504339</v>
      </c>
      <c r="AH71" s="222">
        <f>+AH70/3205.67</f>
        <v>4943.5799692419996</v>
      </c>
      <c r="AI71" s="222">
        <f>+AI70/3462.01</f>
        <v>4746.2982487052313</v>
      </c>
      <c r="AJ71" s="222">
        <f>+AJ70/3277.14</f>
        <v>4935.0033870997277</v>
      </c>
      <c r="AK71" s="14"/>
      <c r="AL71" s="14"/>
    </row>
    <row r="72" spans="2:38">
      <c r="C72" s="22"/>
      <c r="E72" s="22"/>
      <c r="F72" s="22"/>
      <c r="G72" s="22"/>
      <c r="H72" s="22"/>
      <c r="J72" s="22"/>
      <c r="K72" s="22"/>
      <c r="L72" s="22"/>
      <c r="M72" s="22"/>
      <c r="N72" s="22"/>
      <c r="P72" s="22"/>
      <c r="Q72" s="22"/>
      <c r="R72" s="22"/>
      <c r="S72" s="22"/>
      <c r="T72" s="22"/>
      <c r="U72" s="22"/>
      <c r="W72" s="22"/>
      <c r="AB72" s="22"/>
      <c r="AF72" s="14"/>
      <c r="AG72" s="22"/>
      <c r="AK72" s="14"/>
      <c r="AL72" s="14"/>
    </row>
    <row r="73" spans="2:38" ht="13">
      <c r="B73" s="24" t="s">
        <v>59</v>
      </c>
      <c r="C73" s="25">
        <f>+C67+C70</f>
        <v>14342821</v>
      </c>
      <c r="D73" s="24"/>
      <c r="E73" s="25">
        <f>+E67+E70</f>
        <v>14854507</v>
      </c>
      <c r="F73" s="25">
        <f>+F67+F70</f>
        <v>14874524</v>
      </c>
      <c r="G73" s="25">
        <f>+G67+G70</f>
        <v>15324587</v>
      </c>
      <c r="H73" s="25">
        <f>+H67+H70</f>
        <v>15212436</v>
      </c>
      <c r="I73" s="26"/>
      <c r="J73" s="25">
        <f>+J67+J70</f>
        <v>14952164</v>
      </c>
      <c r="K73" s="25">
        <f>+K67+K70</f>
        <v>15971524</v>
      </c>
      <c r="L73" s="25">
        <f>+L67+L70</f>
        <v>16466153</v>
      </c>
      <c r="M73" s="25">
        <f>+M67+M70</f>
        <v>16169425</v>
      </c>
      <c r="N73" s="25">
        <f>+N67+N70</f>
        <v>16327837</v>
      </c>
      <c r="P73" s="25">
        <f t="shared" ref="P73:U73" si="7">+P67+P70</f>
        <v>16210864</v>
      </c>
      <c r="Q73" s="25">
        <f t="shared" si="7"/>
        <v>16005705</v>
      </c>
      <c r="R73" s="25">
        <f t="shared" si="7"/>
        <v>15919947</v>
      </c>
      <c r="S73" s="25">
        <f t="shared" si="7"/>
        <v>16051630</v>
      </c>
      <c r="T73" s="25">
        <f t="shared" si="7"/>
        <v>16995199</v>
      </c>
      <c r="U73" s="25">
        <f t="shared" si="7"/>
        <v>17083471</v>
      </c>
      <c r="W73" s="25">
        <f>+W67+W70</f>
        <v>17289534</v>
      </c>
      <c r="X73" s="25">
        <f>+X67+X70</f>
        <v>17469084</v>
      </c>
      <c r="Y73" s="25">
        <f>+Y67+Y70</f>
        <v>17504261</v>
      </c>
      <c r="Z73" s="25">
        <f>+Z67+Z70</f>
        <v>17523550</v>
      </c>
      <c r="AB73" s="25">
        <f>+AB67+AB70</f>
        <v>17598033</v>
      </c>
      <c r="AC73" s="25">
        <f>+AC67+AC70</f>
        <v>17712442</v>
      </c>
      <c r="AD73" s="25">
        <f>+AD67+AD70</f>
        <v>17701476</v>
      </c>
      <c r="AE73" s="25">
        <f>+AE67+AE70</f>
        <v>17946404</v>
      </c>
      <c r="AF73" s="14"/>
      <c r="AG73" s="25">
        <f>+AG67+AG70</f>
        <v>17960990</v>
      </c>
      <c r="AH73" s="25">
        <f>+AH67+AH70</f>
        <v>17841047</v>
      </c>
      <c r="AI73" s="25">
        <f>+AI67+AI70</f>
        <v>18454416</v>
      </c>
      <c r="AJ73" s="25">
        <f>+AJ67+AJ70</f>
        <v>18160512</v>
      </c>
      <c r="AK73" s="14"/>
      <c r="AL73" s="14"/>
    </row>
    <row r="74" spans="2:38">
      <c r="C74" s="22"/>
      <c r="E74" s="22"/>
      <c r="F74" s="22"/>
      <c r="G74" s="22"/>
      <c r="H74" s="22"/>
      <c r="J74" s="22"/>
      <c r="K74" s="22"/>
      <c r="L74" s="22"/>
      <c r="M74" s="22"/>
      <c r="N74" s="22"/>
      <c r="P74" s="22"/>
      <c r="Q74" s="22"/>
      <c r="R74" s="22"/>
      <c r="S74" s="22"/>
      <c r="T74" s="22"/>
      <c r="U74" s="22"/>
      <c r="W74" s="22"/>
      <c r="AB74" s="22"/>
      <c r="AF74" s="14"/>
      <c r="AG74" s="22"/>
      <c r="AK74" s="14"/>
      <c r="AL74" s="14"/>
    </row>
    <row r="75" spans="2:38" s="10" customFormat="1" ht="16.5" customHeight="1">
      <c r="B75" s="15" t="s">
        <v>150</v>
      </c>
      <c r="C75" s="22">
        <v>51510</v>
      </c>
      <c r="D75" s="15"/>
      <c r="E75" s="22">
        <v>51481</v>
      </c>
      <c r="F75" s="22">
        <v>51481</v>
      </c>
      <c r="G75" s="22">
        <v>51481</v>
      </c>
      <c r="H75" s="22">
        <v>51510</v>
      </c>
      <c r="I75" s="11"/>
      <c r="J75" s="22">
        <v>51481</v>
      </c>
      <c r="K75" s="22">
        <v>50744</v>
      </c>
      <c r="L75" s="22">
        <v>50744</v>
      </c>
      <c r="M75" s="22">
        <v>51510</v>
      </c>
      <c r="N75" s="22">
        <v>51510</v>
      </c>
      <c r="P75" s="22">
        <v>51510</v>
      </c>
      <c r="Q75" s="22">
        <v>51510</v>
      </c>
      <c r="R75" s="22">
        <v>51510</v>
      </c>
      <c r="S75" s="22">
        <v>51510</v>
      </c>
      <c r="T75" s="22">
        <v>53933</v>
      </c>
      <c r="U75" s="22">
        <v>53933</v>
      </c>
      <c r="W75" s="22">
        <v>53933</v>
      </c>
      <c r="X75" s="153">
        <v>53933</v>
      </c>
      <c r="Y75" s="115">
        <v>53933</v>
      </c>
      <c r="Z75" s="117">
        <v>53933</v>
      </c>
      <c r="AA75" s="116"/>
      <c r="AB75" s="22">
        <v>53933</v>
      </c>
      <c r="AC75" s="153">
        <v>53933</v>
      </c>
      <c r="AD75" s="115">
        <v>53933</v>
      </c>
      <c r="AE75" s="117">
        <v>53933</v>
      </c>
      <c r="AF75" s="14"/>
      <c r="AG75" s="22">
        <v>53933</v>
      </c>
      <c r="AH75" s="153">
        <v>53933</v>
      </c>
      <c r="AI75" s="115">
        <v>53933</v>
      </c>
      <c r="AJ75" s="117">
        <v>53933</v>
      </c>
      <c r="AK75" s="14"/>
      <c r="AL75" s="14"/>
    </row>
    <row r="76" spans="2:38" s="10" customFormat="1" ht="16.5" customHeight="1">
      <c r="B76" s="15" t="s">
        <v>139</v>
      </c>
      <c r="C76" s="22">
        <v>667459</v>
      </c>
      <c r="D76" s="15"/>
      <c r="E76" s="22">
        <v>687062</v>
      </c>
      <c r="F76" s="22">
        <v>697292</v>
      </c>
      <c r="G76" s="22">
        <v>680690</v>
      </c>
      <c r="H76" s="22">
        <v>680051</v>
      </c>
      <c r="I76" s="11"/>
      <c r="J76" s="22">
        <v>689585</v>
      </c>
      <c r="K76" s="22">
        <v>681444</v>
      </c>
      <c r="L76" s="22">
        <v>680280</v>
      </c>
      <c r="M76" s="22">
        <v>680218</v>
      </c>
      <c r="N76" s="22">
        <v>680218</v>
      </c>
      <c r="P76" s="22">
        <v>680218</v>
      </c>
      <c r="Q76" s="22">
        <v>680218</v>
      </c>
      <c r="R76" s="22">
        <v>680218</v>
      </c>
      <c r="S76" s="22">
        <v>680218</v>
      </c>
      <c r="T76" s="22">
        <f>1354760-1</f>
        <v>1354759</v>
      </c>
      <c r="U76" s="22">
        <v>1354759</v>
      </c>
      <c r="W76" s="22">
        <f>1354760-1</f>
        <v>1354759</v>
      </c>
      <c r="X76" s="22">
        <f>1354760-1</f>
        <v>1354759</v>
      </c>
      <c r="Y76" s="22">
        <v>1354759</v>
      </c>
      <c r="Z76" s="117">
        <v>1354759</v>
      </c>
      <c r="AA76" s="116"/>
      <c r="AB76" s="22">
        <v>1354759</v>
      </c>
      <c r="AC76" s="22">
        <v>1354759</v>
      </c>
      <c r="AD76" s="22">
        <v>1354759</v>
      </c>
      <c r="AE76" s="117">
        <v>1354759</v>
      </c>
      <c r="AF76" s="14"/>
      <c r="AG76" s="22">
        <v>1354759</v>
      </c>
      <c r="AH76" s="22">
        <v>1354759</v>
      </c>
      <c r="AI76" s="22">
        <v>1354759</v>
      </c>
      <c r="AJ76" s="117">
        <v>1354759</v>
      </c>
      <c r="AK76" s="14"/>
      <c r="AL76" s="14"/>
    </row>
    <row r="77" spans="2:38" s="10" customFormat="1" ht="16.5" customHeight="1">
      <c r="B77" s="15" t="s">
        <v>62</v>
      </c>
      <c r="C77" s="228">
        <v>1143369</v>
      </c>
      <c r="D77" s="15"/>
      <c r="E77" s="228">
        <v>1347062</v>
      </c>
      <c r="F77" s="228">
        <v>1310992</v>
      </c>
      <c r="G77" s="228">
        <v>1442348</v>
      </c>
      <c r="H77" s="228">
        <v>1854084</v>
      </c>
      <c r="I77" s="11"/>
      <c r="J77" s="228">
        <v>1160573</v>
      </c>
      <c r="K77" s="228">
        <f>1517189-1</f>
        <v>1517188</v>
      </c>
      <c r="L77" s="228">
        <f>1797145-1</f>
        <v>1797144</v>
      </c>
      <c r="M77" s="228">
        <v>1694121</v>
      </c>
      <c r="N77" s="228">
        <v>1714197</v>
      </c>
      <c r="P77" s="22">
        <v>1982831</v>
      </c>
      <c r="Q77" s="22">
        <v>1835682</v>
      </c>
      <c r="R77" s="22">
        <v>1700353</v>
      </c>
      <c r="S77" s="22">
        <v>1447059</v>
      </c>
      <c r="T77" s="22">
        <v>1559137</v>
      </c>
      <c r="U77" s="22">
        <v>1559137</v>
      </c>
      <c r="W77" s="22">
        <v>1288659</v>
      </c>
      <c r="X77" s="115">
        <v>1561959</v>
      </c>
      <c r="Y77" s="115">
        <v>1479092</v>
      </c>
      <c r="Z77" s="115">
        <v>1564175</v>
      </c>
      <c r="AA77" s="116"/>
      <c r="AB77" s="22">
        <v>1192509</v>
      </c>
      <c r="AC77" s="115">
        <v>1448037</v>
      </c>
      <c r="AD77" s="115">
        <v>1359357</v>
      </c>
      <c r="AE77" s="115">
        <v>1692653</v>
      </c>
      <c r="AF77" s="14"/>
      <c r="AG77" s="22">
        <v>1717615</v>
      </c>
      <c r="AH77" s="115">
        <v>1678096</v>
      </c>
      <c r="AI77" s="115">
        <v>2066962</v>
      </c>
      <c r="AJ77" s="115">
        <v>1765469</v>
      </c>
      <c r="AK77" s="14"/>
      <c r="AL77" s="14"/>
    </row>
    <row r="78" spans="2:38" s="10" customFormat="1" ht="16.5" customHeight="1">
      <c r="B78" s="15" t="s">
        <v>35</v>
      </c>
      <c r="C78" s="22">
        <v>2331912</v>
      </c>
      <c r="D78" s="15"/>
      <c r="E78" s="22">
        <v>2430710</v>
      </c>
      <c r="F78" s="22">
        <v>2430707</v>
      </c>
      <c r="G78" s="22">
        <v>2431796</v>
      </c>
      <c r="H78" s="22">
        <v>2430615</v>
      </c>
      <c r="I78" s="11"/>
      <c r="J78" s="22">
        <v>2543398</v>
      </c>
      <c r="K78" s="22">
        <v>2547385</v>
      </c>
      <c r="L78" s="22">
        <v>2543987</v>
      </c>
      <c r="M78" s="22">
        <f>2452117+154742</f>
        <v>2606859</v>
      </c>
      <c r="N78" s="22">
        <v>2606859</v>
      </c>
      <c r="P78" s="22">
        <v>2743765</v>
      </c>
      <c r="Q78" s="22">
        <v>2743765</v>
      </c>
      <c r="R78" s="22">
        <v>2743764</v>
      </c>
      <c r="S78" s="22">
        <v>2743765</v>
      </c>
      <c r="T78" s="22">
        <v>2743764</v>
      </c>
      <c r="U78" s="22">
        <v>2743764</v>
      </c>
      <c r="W78" s="22">
        <v>2829844</v>
      </c>
      <c r="X78" s="115">
        <v>2829844</v>
      </c>
      <c r="Y78" s="115">
        <v>2829844</v>
      </c>
      <c r="Z78" s="117">
        <v>2829844</v>
      </c>
      <c r="AA78" s="116"/>
      <c r="AB78" s="22">
        <v>2829844</v>
      </c>
      <c r="AC78" s="115">
        <v>3001515</v>
      </c>
      <c r="AD78" s="115">
        <v>3001515</v>
      </c>
      <c r="AE78" s="117">
        <v>3001515</v>
      </c>
      <c r="AF78" s="14"/>
      <c r="AG78" s="22">
        <v>3513161</v>
      </c>
      <c r="AH78" s="115">
        <v>3513162</v>
      </c>
      <c r="AI78" s="115">
        <v>3513161</v>
      </c>
      <c r="AJ78" s="117">
        <v>3513161</v>
      </c>
      <c r="AK78" s="14"/>
      <c r="AL78" s="14"/>
    </row>
    <row r="79" spans="2:38" s="10" customFormat="1" ht="16.5" customHeight="1">
      <c r="B79" s="15" t="s">
        <v>86</v>
      </c>
      <c r="C79" s="153">
        <v>0</v>
      </c>
      <c r="D79" s="15"/>
      <c r="E79" s="153">
        <v>0</v>
      </c>
      <c r="F79" s="153">
        <v>0</v>
      </c>
      <c r="G79" s="153">
        <v>0</v>
      </c>
      <c r="H79" s="153">
        <v>0</v>
      </c>
      <c r="I79" s="11"/>
      <c r="J79" s="153">
        <v>0</v>
      </c>
      <c r="K79" s="153">
        <v>0</v>
      </c>
      <c r="L79" s="153">
        <v>0</v>
      </c>
      <c r="M79" s="153">
        <v>130033</v>
      </c>
      <c r="N79" s="153">
        <f>127591+3739+37788</f>
        <v>169118</v>
      </c>
      <c r="P79" s="153">
        <v>0</v>
      </c>
      <c r="Q79" s="153">
        <v>0</v>
      </c>
      <c r="R79" s="153">
        <v>0</v>
      </c>
      <c r="S79" s="153">
        <v>248090</v>
      </c>
      <c r="T79" s="153">
        <f>428834+37788</f>
        <v>466622</v>
      </c>
      <c r="U79" s="153">
        <v>466622</v>
      </c>
      <c r="W79" s="153">
        <v>628793</v>
      </c>
      <c r="X79" s="153">
        <v>599700</v>
      </c>
      <c r="Y79" s="153">
        <v>601328</v>
      </c>
      <c r="Z79" s="117">
        <v>592604</v>
      </c>
      <c r="AA79" s="116"/>
      <c r="AB79" s="153">
        <v>366085</v>
      </c>
      <c r="AC79" s="153">
        <v>379442</v>
      </c>
      <c r="AD79" s="153">
        <v>367883</v>
      </c>
      <c r="AE79" s="115">
        <v>374968</v>
      </c>
      <c r="AF79" s="14"/>
      <c r="AG79" s="153">
        <v>340018</v>
      </c>
      <c r="AH79" s="153">
        <v>338899</v>
      </c>
      <c r="AI79" s="153">
        <v>335143</v>
      </c>
      <c r="AJ79" s="115">
        <v>301188</v>
      </c>
      <c r="AK79" s="14"/>
      <c r="AL79" s="14"/>
    </row>
    <row r="80" spans="2:38" ht="16.5" customHeight="1">
      <c r="B80" s="23" t="s">
        <v>140</v>
      </c>
      <c r="C80" s="22">
        <v>8649149</v>
      </c>
      <c r="D80" s="23"/>
      <c r="E80" s="22">
        <v>8811355</v>
      </c>
      <c r="F80" s="22">
        <v>8811355</v>
      </c>
      <c r="G80" s="22">
        <v>8811355</v>
      </c>
      <c r="H80" s="22">
        <v>8649149</v>
      </c>
      <c r="J80" s="22">
        <v>8811355</v>
      </c>
      <c r="K80" s="22">
        <f>8811355</f>
        <v>8811355</v>
      </c>
      <c r="L80" s="22">
        <f>8811355</f>
        <v>8811355</v>
      </c>
      <c r="M80" s="22">
        <v>8603670</v>
      </c>
      <c r="N80" s="22">
        <f>8703627-37788</f>
        <v>8665839</v>
      </c>
      <c r="P80" s="22">
        <v>8585838</v>
      </c>
      <c r="Q80" s="22">
        <v>8585838</v>
      </c>
      <c r="R80" s="22">
        <v>8752011</v>
      </c>
      <c r="S80" s="22">
        <v>8854990</v>
      </c>
      <c r="T80" s="22">
        <f>8737650+1-37788</f>
        <v>8699863</v>
      </c>
      <c r="U80" s="22">
        <v>8699863</v>
      </c>
      <c r="W80" s="22">
        <v>8699862</v>
      </c>
      <c r="X80" s="153">
        <v>8699863</v>
      </c>
      <c r="Y80" s="153">
        <v>8699863</v>
      </c>
      <c r="Z80" s="116">
        <v>8696987</v>
      </c>
      <c r="AB80" s="22">
        <v>9148034</v>
      </c>
      <c r="AC80" s="153">
        <v>8695192</v>
      </c>
      <c r="AD80" s="153">
        <v>8693237</v>
      </c>
      <c r="AE80" s="153">
        <v>8686431</v>
      </c>
      <c r="AF80" s="14"/>
      <c r="AG80" s="22">
        <v>8686625</v>
      </c>
      <c r="AH80" s="153">
        <v>8702920</v>
      </c>
      <c r="AI80" s="153">
        <v>8702956</v>
      </c>
      <c r="AJ80" s="153">
        <v>8701448</v>
      </c>
      <c r="AK80" s="14"/>
      <c r="AL80" s="14"/>
    </row>
    <row r="81" spans="1:38" ht="16.5" customHeight="1">
      <c r="B81" s="15" t="s">
        <v>151</v>
      </c>
      <c r="C81" s="18">
        <v>294950</v>
      </c>
      <c r="D81" s="15"/>
      <c r="E81" s="196">
        <v>-21377</v>
      </c>
      <c r="F81" s="18">
        <v>240678</v>
      </c>
      <c r="G81" s="18">
        <v>263780</v>
      </c>
      <c r="H81" s="18">
        <v>201042</v>
      </c>
      <c r="J81" s="18">
        <v>34639</v>
      </c>
      <c r="K81" s="18">
        <v>139406</v>
      </c>
      <c r="L81" s="18">
        <v>450079</v>
      </c>
      <c r="M81" s="18">
        <v>371801</v>
      </c>
      <c r="N81" s="150">
        <v>395462</v>
      </c>
      <c r="P81" s="18">
        <v>90796</v>
      </c>
      <c r="Q81" s="18">
        <v>136112</v>
      </c>
      <c r="R81" s="18">
        <v>162857</v>
      </c>
      <c r="S81" s="18">
        <v>183343</v>
      </c>
      <c r="T81" s="18">
        <v>351820</v>
      </c>
      <c r="U81" s="18">
        <v>351820</v>
      </c>
      <c r="W81" s="18">
        <v>86971</v>
      </c>
      <c r="X81" s="116">
        <v>148389</v>
      </c>
      <c r="Y81" s="116">
        <v>481542</v>
      </c>
      <c r="Z81" s="116">
        <v>452841</v>
      </c>
      <c r="AB81" s="18">
        <v>480389</v>
      </c>
      <c r="AC81" s="116">
        <v>520336</v>
      </c>
      <c r="AD81" s="116">
        <v>710852</v>
      </c>
      <c r="AE81" s="116">
        <v>811676</v>
      </c>
      <c r="AF81" s="14"/>
      <c r="AG81" s="18">
        <v>172188</v>
      </c>
      <c r="AH81" s="116">
        <v>205717</v>
      </c>
      <c r="AI81" s="116">
        <v>404818</v>
      </c>
      <c r="AJ81" s="116">
        <v>482739</v>
      </c>
      <c r="AK81" s="14"/>
      <c r="AL81" s="14"/>
    </row>
    <row r="82" spans="1:38" ht="7.5" customHeight="1">
      <c r="B82" s="15"/>
      <c r="C82" s="18"/>
      <c r="D82" s="15"/>
      <c r="E82" s="18"/>
      <c r="F82" s="18"/>
      <c r="G82" s="18"/>
      <c r="H82" s="18"/>
      <c r="J82" s="18"/>
      <c r="K82" s="18"/>
      <c r="L82" s="18"/>
      <c r="M82" s="18"/>
      <c r="N82" s="18"/>
      <c r="P82" s="18"/>
      <c r="Q82" s="18"/>
      <c r="R82" s="18"/>
      <c r="S82" s="18"/>
      <c r="T82" s="18"/>
      <c r="U82" s="18"/>
      <c r="W82" s="18"/>
      <c r="AB82" s="18"/>
      <c r="AF82" s="14"/>
      <c r="AG82" s="18"/>
      <c r="AK82" s="14"/>
      <c r="AL82" s="14"/>
    </row>
    <row r="83" spans="1:38" ht="20.25" customHeight="1">
      <c r="B83" s="219" t="s">
        <v>52</v>
      </c>
      <c r="C83" s="220">
        <f>SUM(C75:C81)</f>
        <v>13138349</v>
      </c>
      <c r="D83" s="24"/>
      <c r="E83" s="220">
        <f>SUM(E75:E81)</f>
        <v>13306293</v>
      </c>
      <c r="F83" s="220">
        <f>SUM(F75:F81)</f>
        <v>13542505</v>
      </c>
      <c r="G83" s="220">
        <f>SUM(G75:G81)</f>
        <v>13681450</v>
      </c>
      <c r="H83" s="220">
        <f>SUM(H75:H81)</f>
        <v>13866451</v>
      </c>
      <c r="J83" s="220">
        <f>SUM(J75:J81)</f>
        <v>13291031</v>
      </c>
      <c r="K83" s="220">
        <f>SUM(K75:K81)</f>
        <v>13747522</v>
      </c>
      <c r="L83" s="220">
        <f>SUM(L75:L81)</f>
        <v>14333589</v>
      </c>
      <c r="M83" s="220">
        <f>SUM(M75:M81)</f>
        <v>14138212</v>
      </c>
      <c r="N83" s="220">
        <f>SUM(N75:N81)</f>
        <v>14283203</v>
      </c>
      <c r="P83" s="220">
        <f t="shared" ref="P83:U83" si="8">SUM(P75:P81)</f>
        <v>14134958</v>
      </c>
      <c r="Q83" s="220">
        <f t="shared" si="8"/>
        <v>14033125</v>
      </c>
      <c r="R83" s="220">
        <f t="shared" si="8"/>
        <v>14090713</v>
      </c>
      <c r="S83" s="220">
        <f t="shared" si="8"/>
        <v>14208975</v>
      </c>
      <c r="T83" s="220">
        <f t="shared" si="8"/>
        <v>15229898</v>
      </c>
      <c r="U83" s="220">
        <f t="shared" si="8"/>
        <v>15229898</v>
      </c>
      <c r="W83" s="220">
        <f>SUM(W75:W81)</f>
        <v>14942821</v>
      </c>
      <c r="X83" s="220">
        <f>SUM(X75:X81)</f>
        <v>15248447</v>
      </c>
      <c r="Y83" s="220">
        <f>SUM(Y75:Y81)</f>
        <v>15500361</v>
      </c>
      <c r="Z83" s="220">
        <f>SUM(Z75:Z81)</f>
        <v>15545143</v>
      </c>
      <c r="AB83" s="220">
        <f>SUM(AB75:AB81)</f>
        <v>15425553</v>
      </c>
      <c r="AC83" s="220">
        <f>SUM(AC75:AC81)</f>
        <v>15453214</v>
      </c>
      <c r="AD83" s="220">
        <f>SUM(AD75:AD81)</f>
        <v>15541536</v>
      </c>
      <c r="AE83" s="220">
        <f>SUM(AE75:AE81)</f>
        <v>15975935</v>
      </c>
      <c r="AF83" s="14"/>
      <c r="AG83" s="220">
        <f>SUM(AG75:AG81)</f>
        <v>15838299</v>
      </c>
      <c r="AH83" s="220">
        <f>SUM(AH75:AH81)</f>
        <v>15847486</v>
      </c>
      <c r="AI83" s="220">
        <f>SUM(AI75:AI81)</f>
        <v>16431732</v>
      </c>
      <c r="AJ83" s="220">
        <f>SUM(AJ75:AJ81)</f>
        <v>16172697</v>
      </c>
      <c r="AK83" s="14"/>
      <c r="AL83" s="14"/>
    </row>
    <row r="84" spans="1:38" ht="11.25" customHeight="1">
      <c r="B84" s="15"/>
      <c r="C84" s="22"/>
      <c r="D84" s="15"/>
      <c r="E84" s="22"/>
      <c r="F84" s="22"/>
      <c r="G84" s="22"/>
      <c r="H84" s="22"/>
      <c r="J84" s="22"/>
      <c r="K84" s="22"/>
      <c r="L84" s="22"/>
      <c r="M84" s="22"/>
      <c r="N84" s="22"/>
      <c r="P84" s="22"/>
      <c r="Q84" s="22"/>
      <c r="R84" s="22"/>
      <c r="S84" s="22"/>
    </row>
    <row r="85" spans="1:38">
      <c r="C85" s="10"/>
    </row>
    <row r="86" spans="1:38" ht="21" customHeight="1">
      <c r="C86" s="10"/>
      <c r="E86" s="22"/>
    </row>
    <row r="87" spans="1:38">
      <c r="B87" s="197"/>
      <c r="C87" s="197">
        <f>+C35-C67-C70</f>
        <v>0</v>
      </c>
      <c r="D87" s="194"/>
      <c r="E87" s="197">
        <f t="shared" ref="E87:H88" si="9">+E35-E67-E70</f>
        <v>0</v>
      </c>
      <c r="F87" s="197">
        <f t="shared" si="9"/>
        <v>0</v>
      </c>
      <c r="G87" s="197">
        <f t="shared" si="9"/>
        <v>0</v>
      </c>
      <c r="H87" s="197">
        <f t="shared" si="9"/>
        <v>0</v>
      </c>
      <c r="I87" s="197"/>
      <c r="J87" s="197">
        <f t="shared" ref="J87:N88" si="10">+J35-J67-J70</f>
        <v>0</v>
      </c>
      <c r="K87" s="197">
        <f t="shared" si="10"/>
        <v>0</v>
      </c>
      <c r="L87" s="197">
        <f t="shared" si="10"/>
        <v>0</v>
      </c>
      <c r="M87" s="197">
        <f t="shared" si="10"/>
        <v>0</v>
      </c>
      <c r="N87" s="197">
        <f t="shared" si="10"/>
        <v>0</v>
      </c>
      <c r="O87" s="197"/>
      <c r="P87" s="197">
        <f t="shared" ref="P87:U88" si="11">+P35-P67-P70</f>
        <v>0</v>
      </c>
      <c r="Q87" s="197">
        <f t="shared" si="11"/>
        <v>0</v>
      </c>
      <c r="R87" s="197">
        <f t="shared" si="11"/>
        <v>0</v>
      </c>
      <c r="S87" s="197">
        <f t="shared" si="11"/>
        <v>0</v>
      </c>
      <c r="T87" s="197">
        <f t="shared" si="11"/>
        <v>0</v>
      </c>
      <c r="U87" s="197">
        <f t="shared" si="11"/>
        <v>0</v>
      </c>
      <c r="W87" s="197">
        <f t="shared" ref="W87:Z88" si="12">+W35-W67-W70</f>
        <v>0</v>
      </c>
      <c r="X87" s="197">
        <f t="shared" si="12"/>
        <v>0</v>
      </c>
      <c r="Y87" s="197">
        <f t="shared" si="12"/>
        <v>0</v>
      </c>
      <c r="Z87" s="197">
        <f t="shared" si="12"/>
        <v>0</v>
      </c>
      <c r="AB87" s="197">
        <f t="shared" ref="AB87:AE88" si="13">+AB35-AB67-AB70</f>
        <v>0</v>
      </c>
      <c r="AC87" s="197">
        <f t="shared" si="13"/>
        <v>0</v>
      </c>
      <c r="AD87" s="197">
        <f t="shared" si="13"/>
        <v>0</v>
      </c>
      <c r="AE87" s="197">
        <f t="shared" si="13"/>
        <v>0</v>
      </c>
      <c r="AG87" s="197">
        <f t="shared" ref="AG87:AJ88" si="14">+AG35-AG67-AG70</f>
        <v>0</v>
      </c>
      <c r="AH87" s="197">
        <f t="shared" si="14"/>
        <v>0</v>
      </c>
      <c r="AI87" s="197">
        <f t="shared" si="14"/>
        <v>0</v>
      </c>
      <c r="AJ87" s="197">
        <f t="shared" si="14"/>
        <v>0</v>
      </c>
    </row>
    <row r="88" spans="1:38" ht="16.5" customHeight="1">
      <c r="C88" s="197">
        <f>+C36-C68-C71</f>
        <v>0</v>
      </c>
      <c r="E88" s="197">
        <f t="shared" si="9"/>
        <v>0</v>
      </c>
      <c r="F88" s="197">
        <f t="shared" si="9"/>
        <v>0</v>
      </c>
      <c r="G88" s="197">
        <f t="shared" si="9"/>
        <v>0</v>
      </c>
      <c r="H88" s="197">
        <f t="shared" si="9"/>
        <v>0</v>
      </c>
      <c r="I88" s="197"/>
      <c r="J88" s="197">
        <f t="shared" si="10"/>
        <v>0</v>
      </c>
      <c r="K88" s="197">
        <f t="shared" si="10"/>
        <v>0</v>
      </c>
      <c r="L88" s="197">
        <f t="shared" si="10"/>
        <v>0</v>
      </c>
      <c r="M88" s="197">
        <f t="shared" si="10"/>
        <v>0</v>
      </c>
      <c r="N88" s="197">
        <f t="shared" si="10"/>
        <v>0</v>
      </c>
      <c r="P88" s="197">
        <f t="shared" si="11"/>
        <v>0</v>
      </c>
      <c r="Q88" s="197">
        <f t="shared" si="11"/>
        <v>0</v>
      </c>
      <c r="R88" s="197">
        <f t="shared" si="11"/>
        <v>0</v>
      </c>
      <c r="S88" s="197">
        <f t="shared" si="11"/>
        <v>0</v>
      </c>
      <c r="T88" s="197">
        <f t="shared" si="11"/>
        <v>0</v>
      </c>
      <c r="U88" s="197">
        <f t="shared" si="11"/>
        <v>0</v>
      </c>
      <c r="W88" s="197">
        <f t="shared" si="12"/>
        <v>0</v>
      </c>
      <c r="X88" s="197">
        <f t="shared" si="12"/>
        <v>0</v>
      </c>
      <c r="Y88" s="197">
        <f t="shared" si="12"/>
        <v>0</v>
      </c>
      <c r="Z88" s="197">
        <f t="shared" si="12"/>
        <v>0</v>
      </c>
      <c r="AB88" s="197">
        <f t="shared" si="13"/>
        <v>0</v>
      </c>
      <c r="AC88" s="197">
        <f t="shared" si="13"/>
        <v>0</v>
      </c>
      <c r="AD88" s="197">
        <f t="shared" si="13"/>
        <v>0</v>
      </c>
      <c r="AE88" s="197">
        <f t="shared" si="13"/>
        <v>0</v>
      </c>
      <c r="AG88" s="197">
        <f t="shared" si="14"/>
        <v>0</v>
      </c>
      <c r="AH88" s="197">
        <f t="shared" si="14"/>
        <v>0</v>
      </c>
      <c r="AI88" s="197">
        <f t="shared" si="14"/>
        <v>0</v>
      </c>
      <c r="AJ88" s="197">
        <f t="shared" si="14"/>
        <v>0</v>
      </c>
    </row>
    <row r="89" spans="1:38" ht="16.5" customHeight="1">
      <c r="A89" s="197"/>
      <c r="B89" s="197"/>
      <c r="C89" s="197"/>
      <c r="D89" s="194"/>
      <c r="E89" s="197"/>
      <c r="F89" s="197"/>
      <c r="G89" s="197"/>
      <c r="H89" s="197"/>
      <c r="I89" s="197"/>
      <c r="J89" s="197"/>
      <c r="K89" s="197"/>
      <c r="L89" s="197"/>
      <c r="M89" s="197"/>
      <c r="N89" s="197"/>
    </row>
    <row r="90" spans="1:38" ht="16.5" customHeight="1"/>
    <row r="91" spans="1:38" ht="16.5" customHeight="1"/>
    <row r="92" spans="1:38" ht="14.25" customHeight="1"/>
    <row r="93" spans="1:38" ht="16.5" customHeight="1"/>
    <row r="94" spans="1:38" ht="3.75" customHeight="1"/>
    <row r="95" spans="1:38" ht="16.5" customHeight="1"/>
    <row r="97" spans="2:8" ht="14.25" customHeight="1">
      <c r="B97" s="377"/>
      <c r="C97" s="377"/>
      <c r="D97" s="377"/>
      <c r="E97" s="377"/>
      <c r="F97" s="377"/>
      <c r="G97" s="11"/>
      <c r="H97" s="11"/>
    </row>
    <row r="101" spans="2:8" ht="14.5">
      <c r="B101" s="31"/>
      <c r="C101" s="31"/>
      <c r="D101" s="31"/>
      <c r="E101" s="32"/>
      <c r="F101" s="32"/>
      <c r="G101" s="32"/>
      <c r="H101" s="32"/>
    </row>
    <row r="102" spans="2:8" ht="14.5">
      <c r="B102" s="33"/>
      <c r="C102" s="33"/>
      <c r="D102" s="33"/>
      <c r="E102" s="34"/>
      <c r="F102" s="35"/>
      <c r="G102" s="35"/>
      <c r="H102" s="35"/>
    </row>
    <row r="103" spans="2:8" ht="14.5">
      <c r="B103" s="33"/>
      <c r="C103" s="33"/>
      <c r="D103" s="33"/>
      <c r="E103" s="32"/>
      <c r="F103" s="21"/>
      <c r="G103" s="21"/>
      <c r="H103" s="21"/>
    </row>
    <row r="104" spans="2:8" ht="14.5">
      <c r="B104" s="33"/>
      <c r="C104" s="33"/>
      <c r="D104" s="33"/>
      <c r="E104" s="32"/>
      <c r="F104" s="21"/>
      <c r="G104" s="21"/>
      <c r="H104" s="21"/>
    </row>
    <row r="105" spans="2:8" ht="14.5">
      <c r="B105" s="33"/>
      <c r="C105" s="33"/>
      <c r="D105" s="33"/>
      <c r="E105" s="32"/>
      <c r="F105" s="21"/>
      <c r="G105" s="21"/>
      <c r="H105" s="21"/>
    </row>
    <row r="106" spans="2:8" ht="14.5">
      <c r="B106" s="33"/>
      <c r="C106" s="33"/>
      <c r="D106" s="33"/>
      <c r="E106" s="32"/>
      <c r="F106" s="21"/>
      <c r="G106" s="21"/>
      <c r="H106" s="21"/>
    </row>
    <row r="107" spans="2:8" ht="14.5">
      <c r="B107" s="33"/>
      <c r="C107" s="33"/>
      <c r="D107" s="33"/>
      <c r="E107" s="32"/>
      <c r="F107" s="21"/>
      <c r="G107" s="21"/>
      <c r="H107" s="21"/>
    </row>
    <row r="108" spans="2:8" ht="14.5">
      <c r="B108" s="33"/>
      <c r="C108" s="33"/>
      <c r="D108" s="33"/>
      <c r="E108" s="32"/>
      <c r="F108" s="21"/>
      <c r="G108" s="21"/>
      <c r="H108" s="21"/>
    </row>
    <row r="109" spans="2:8" ht="14.5">
      <c r="B109" s="33"/>
      <c r="C109" s="33"/>
      <c r="D109" s="33"/>
      <c r="E109" s="32"/>
      <c r="F109" s="21"/>
      <c r="G109" s="21"/>
      <c r="H109" s="21"/>
    </row>
    <row r="110" spans="2:8" ht="14.5">
      <c r="B110" s="33"/>
      <c r="C110" s="33"/>
      <c r="D110" s="33"/>
      <c r="E110" s="32"/>
      <c r="F110" s="21"/>
      <c r="G110" s="21"/>
      <c r="H110" s="21"/>
    </row>
    <row r="111" spans="2:8" ht="14.5">
      <c r="B111" s="31"/>
      <c r="C111" s="31"/>
      <c r="D111" s="31"/>
      <c r="E111" s="36"/>
      <c r="F111" s="36"/>
      <c r="G111" s="36"/>
      <c r="H111" s="36"/>
    </row>
  </sheetData>
  <mergeCells count="10">
    <mergeCell ref="W6:Z6"/>
    <mergeCell ref="AB6:AE6"/>
    <mergeCell ref="AG6:AJ6"/>
    <mergeCell ref="B97:F97"/>
    <mergeCell ref="B1:K1"/>
    <mergeCell ref="B2:K2"/>
    <mergeCell ref="B3:K3"/>
    <mergeCell ref="E6:H6"/>
    <mergeCell ref="J6:N6"/>
    <mergeCell ref="P6:U6"/>
  </mergeCells>
  <printOptions horizontalCentered="1"/>
  <pageMargins left="0.27" right="0.22" top="0.63" bottom="0.34" header="0" footer="0"/>
  <pageSetup scale="38" orientation="landscape" r:id="rId1"/>
  <headerFooter alignWithMargins="0"/>
  <customProperties>
    <customPr name="EpmWorksheetKeyString_GUID" r:id="rId2"/>
  </customPropertie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B79DF-B5F7-4D5E-9BEA-6BFBAF98F876}">
  <sheetPr>
    <pageSetUpPr fitToPage="1"/>
  </sheetPr>
  <dimension ref="A1:BD107"/>
  <sheetViews>
    <sheetView showGridLines="0" topLeftCell="B1" zoomScaleNormal="100" workbookViewId="0">
      <pane xSplit="1" ySplit="9" topLeftCell="AX10" activePane="bottomRight" state="frozen"/>
      <selection activeCell="D38" sqref="D38"/>
      <selection pane="topRight" activeCell="D38" sqref="D38"/>
      <selection pane="bottomLeft" activeCell="D38" sqref="D38"/>
      <selection pane="bottomRight" activeCell="BD8" sqref="BD8:BD83"/>
    </sheetView>
  </sheetViews>
  <sheetFormatPr baseColWidth="10" defaultColWidth="13" defaultRowHeight="12.5"/>
  <cols>
    <col min="1" max="1" width="13" style="11" customWidth="1"/>
    <col min="2" max="2" width="56.36328125" style="11" bestFit="1" customWidth="1"/>
    <col min="3" max="3" width="10.26953125" style="11" bestFit="1" customWidth="1"/>
    <col min="4" max="4" width="1.6328125" style="11" customWidth="1"/>
    <col min="5" max="8" width="11.26953125" style="10" customWidth="1"/>
    <col min="9" max="9" width="2" style="11" customWidth="1"/>
    <col min="10" max="13" width="11.26953125" style="11" customWidth="1"/>
    <col min="14" max="14" width="15.6328125" style="11" customWidth="1"/>
    <col min="15" max="15" width="2" style="11" customWidth="1"/>
    <col min="16" max="18" width="13" style="11"/>
    <col min="19" max="19" width="14.08984375" style="11" bestFit="1" customWidth="1"/>
    <col min="20" max="21" width="13" style="11"/>
    <col min="22" max="22" width="1.36328125" style="11" customWidth="1"/>
    <col min="23" max="26" width="13" style="11"/>
    <col min="27" max="27" width="4.6328125" style="116" customWidth="1"/>
    <col min="28" max="31" width="10.26953125" style="11" bestFit="1" customWidth="1"/>
    <col min="32" max="32" width="5" style="11" customWidth="1"/>
    <col min="33" max="36" width="10.26953125" style="11" bestFit="1" customWidth="1"/>
    <col min="37" max="37" width="5" style="11" customWidth="1"/>
    <col min="38" max="39" width="10.26953125" style="11" bestFit="1" customWidth="1"/>
    <col min="40" max="41" width="10.26953125" style="11" customWidth="1"/>
    <col min="42" max="42" width="5" style="11" customWidth="1"/>
    <col min="43" max="46" width="13" style="11"/>
    <col min="47" max="47" width="5" style="11" customWidth="1"/>
    <col min="48" max="51" width="13" style="11"/>
    <col min="52" max="52" width="5" style="11" customWidth="1"/>
    <col min="53" max="16384" width="13" style="11"/>
  </cols>
  <sheetData>
    <row r="1" spans="2:56" ht="22.5">
      <c r="B1" s="264" t="s">
        <v>0</v>
      </c>
      <c r="C1" s="266"/>
      <c r="D1" s="266"/>
      <c r="E1" s="266"/>
      <c r="F1" s="266"/>
      <c r="G1" s="266"/>
      <c r="H1" s="266"/>
      <c r="I1" s="266"/>
      <c r="J1" s="266"/>
      <c r="K1" s="266"/>
    </row>
    <row r="2" spans="2:56" ht="19">
      <c r="B2" s="265" t="s">
        <v>301</v>
      </c>
      <c r="C2" s="266"/>
      <c r="D2" s="266"/>
      <c r="E2" s="266"/>
      <c r="F2" s="266"/>
      <c r="G2" s="266"/>
      <c r="H2" s="266"/>
      <c r="I2" s="266"/>
      <c r="J2" s="266"/>
      <c r="K2" s="266"/>
    </row>
    <row r="3" spans="2:56" ht="13.5">
      <c r="B3" s="263" t="s">
        <v>1</v>
      </c>
      <c r="C3" s="20"/>
      <c r="D3" s="20"/>
      <c r="E3" s="20"/>
      <c r="F3" s="20"/>
      <c r="G3" s="20"/>
      <c r="H3" s="20"/>
      <c r="I3" s="20"/>
      <c r="J3" s="20"/>
      <c r="K3" s="20"/>
      <c r="AQ3" s="269"/>
      <c r="AR3" s="206"/>
    </row>
    <row r="4" spans="2:56" ht="12.75" customHeight="1">
      <c r="B4" s="133"/>
      <c r="C4" s="133"/>
      <c r="D4" s="133"/>
      <c r="E4" s="133"/>
      <c r="F4" s="133"/>
      <c r="G4" s="133"/>
      <c r="H4" s="133"/>
      <c r="I4" s="133"/>
      <c r="J4" s="133"/>
      <c r="K4" s="133"/>
      <c r="AS4" s="206"/>
      <c r="AT4" s="206"/>
      <c r="BA4" s="14"/>
    </row>
    <row r="5" spans="2:56" ht="13" thickBot="1"/>
    <row r="6" spans="2:56" ht="21" customHeight="1" thickTop="1" thickBot="1">
      <c r="C6" s="200">
        <v>2013</v>
      </c>
      <c r="D6" s="134"/>
      <c r="E6" s="380" t="s">
        <v>101</v>
      </c>
      <c r="F6" s="381"/>
      <c r="G6" s="381"/>
      <c r="H6" s="382"/>
      <c r="J6" s="380" t="s">
        <v>102</v>
      </c>
      <c r="K6" s="381"/>
      <c r="L6" s="381"/>
      <c r="M6" s="381"/>
      <c r="N6" s="382"/>
      <c r="P6" s="383" t="s">
        <v>176</v>
      </c>
      <c r="Q6" s="384"/>
      <c r="R6" s="384"/>
      <c r="S6" s="384"/>
      <c r="T6" s="384"/>
      <c r="U6" s="385"/>
      <c r="W6" s="374" t="s">
        <v>193</v>
      </c>
      <c r="X6" s="375"/>
      <c r="Y6" s="375"/>
      <c r="Z6" s="376"/>
      <c r="AB6" s="374" t="s">
        <v>229</v>
      </c>
      <c r="AC6" s="375"/>
      <c r="AD6" s="375"/>
      <c r="AE6" s="376"/>
      <c r="AG6" s="374" t="s">
        <v>250</v>
      </c>
      <c r="AH6" s="375"/>
      <c r="AI6" s="375"/>
      <c r="AJ6" s="376"/>
      <c r="AL6" s="374" t="s">
        <v>285</v>
      </c>
      <c r="AM6" s="375"/>
      <c r="AN6" s="375"/>
      <c r="AO6" s="376"/>
      <c r="AQ6" s="374" t="s">
        <v>297</v>
      </c>
      <c r="AR6" s="375"/>
      <c r="AS6" s="375"/>
      <c r="AT6" s="376"/>
      <c r="AV6" s="365" t="s">
        <v>318</v>
      </c>
      <c r="AW6" s="364"/>
      <c r="AX6" s="364"/>
      <c r="AY6" s="364"/>
      <c r="BA6" s="364" t="s">
        <v>352</v>
      </c>
      <c r="BB6" s="364"/>
      <c r="BC6" s="364"/>
      <c r="BD6" s="364"/>
    </row>
    <row r="7" spans="2:56" ht="4.5" customHeight="1" thickTop="1" thickBot="1">
      <c r="E7" s="19"/>
      <c r="F7" s="19"/>
      <c r="G7" s="19"/>
      <c r="H7" s="19"/>
      <c r="J7" s="19"/>
      <c r="K7" s="19"/>
    </row>
    <row r="8" spans="2:56" ht="30" customHeight="1" thickTop="1" thickBot="1">
      <c r="C8" s="120">
        <v>41609</v>
      </c>
      <c r="D8" s="119"/>
      <c r="E8" s="213">
        <v>41699</v>
      </c>
      <c r="F8" s="139">
        <v>41791</v>
      </c>
      <c r="G8" s="139">
        <v>41883</v>
      </c>
      <c r="H8" s="139">
        <v>41974</v>
      </c>
      <c r="J8" s="139">
        <v>42064</v>
      </c>
      <c r="K8" s="139">
        <v>42156</v>
      </c>
      <c r="L8" s="139">
        <v>42248</v>
      </c>
      <c r="M8" s="139">
        <v>42339</v>
      </c>
      <c r="N8" s="120" t="s">
        <v>183</v>
      </c>
      <c r="P8" s="139">
        <v>42430</v>
      </c>
      <c r="Q8" s="139">
        <v>42522</v>
      </c>
      <c r="R8" s="139">
        <v>42614</v>
      </c>
      <c r="S8" s="139" t="s">
        <v>213</v>
      </c>
      <c r="T8" s="120">
        <v>42705</v>
      </c>
      <c r="U8" s="120" t="s">
        <v>225</v>
      </c>
      <c r="W8" s="139">
        <v>42795</v>
      </c>
      <c r="X8" s="139">
        <v>42887</v>
      </c>
      <c r="Y8" s="120">
        <v>42979</v>
      </c>
      <c r="Z8" s="120">
        <v>43070</v>
      </c>
      <c r="AB8" s="139">
        <v>43160</v>
      </c>
      <c r="AC8" s="139">
        <v>43252</v>
      </c>
      <c r="AD8" s="120">
        <v>43344</v>
      </c>
      <c r="AE8" s="120">
        <v>43435</v>
      </c>
      <c r="AG8" s="139">
        <v>43525</v>
      </c>
      <c r="AH8" s="139">
        <v>43617</v>
      </c>
      <c r="AI8" s="120">
        <v>43709</v>
      </c>
      <c r="AJ8" s="120">
        <v>43800</v>
      </c>
      <c r="AL8" s="139">
        <v>43891</v>
      </c>
      <c r="AM8" s="139">
        <v>43983</v>
      </c>
      <c r="AN8" s="120">
        <v>44075</v>
      </c>
      <c r="AO8" s="120">
        <v>44166</v>
      </c>
      <c r="AQ8" s="139">
        <v>44256</v>
      </c>
      <c r="AR8" s="139">
        <v>44348</v>
      </c>
      <c r="AS8" s="139">
        <v>44440</v>
      </c>
      <c r="AT8" s="120">
        <v>44531</v>
      </c>
      <c r="AV8" s="139">
        <v>44621</v>
      </c>
      <c r="AW8" s="139">
        <v>44713</v>
      </c>
      <c r="AX8" s="139">
        <v>44805</v>
      </c>
      <c r="AY8" s="139">
        <v>44896</v>
      </c>
      <c r="BA8" s="139">
        <v>44986</v>
      </c>
      <c r="BB8" s="139">
        <v>45078</v>
      </c>
      <c r="BC8" s="139">
        <v>45170</v>
      </c>
      <c r="BD8" s="139">
        <v>45261</v>
      </c>
    </row>
    <row r="9" spans="2:56" ht="3.75" customHeight="1" thickTop="1">
      <c r="J9" s="10"/>
      <c r="K9" s="10"/>
    </row>
    <row r="10" spans="2:56" ht="16.5" customHeight="1">
      <c r="B10" s="12" t="s">
        <v>36</v>
      </c>
      <c r="C10" s="22">
        <v>20409</v>
      </c>
      <c r="D10" s="12"/>
      <c r="E10" s="22">
        <v>44378</v>
      </c>
      <c r="F10" s="22">
        <v>34879</v>
      </c>
      <c r="G10" s="22">
        <v>368419</v>
      </c>
      <c r="H10" s="22">
        <v>165978</v>
      </c>
      <c r="J10" s="22">
        <v>212683</v>
      </c>
      <c r="K10" s="22">
        <v>25622</v>
      </c>
      <c r="L10" s="22">
        <v>399215</v>
      </c>
      <c r="M10" s="22">
        <v>311454</v>
      </c>
      <c r="N10" s="22">
        <v>311454</v>
      </c>
      <c r="P10" s="22">
        <v>145061</v>
      </c>
      <c r="Q10" s="22">
        <v>36458</v>
      </c>
      <c r="R10" s="22">
        <v>165562</v>
      </c>
      <c r="S10" s="22">
        <v>165562</v>
      </c>
      <c r="T10" s="22">
        <v>179358</v>
      </c>
      <c r="U10" s="22">
        <v>180011</v>
      </c>
      <c r="W10" s="22">
        <v>4218</v>
      </c>
      <c r="X10" s="22">
        <v>71637</v>
      </c>
      <c r="Y10" s="116">
        <v>106150</v>
      </c>
      <c r="Z10" s="116">
        <f>312774-13692</f>
        <v>299082</v>
      </c>
      <c r="AB10" s="22">
        <v>79466</v>
      </c>
      <c r="AC10" s="22">
        <v>13861</v>
      </c>
      <c r="AD10" s="116">
        <v>2489</v>
      </c>
      <c r="AE10" s="116">
        <v>4850</v>
      </c>
      <c r="AF10" s="14"/>
      <c r="AG10" s="22">
        <v>7530</v>
      </c>
      <c r="AH10" s="153">
        <v>1810</v>
      </c>
      <c r="AI10" s="153">
        <v>1972</v>
      </c>
      <c r="AJ10" s="153">
        <v>1729</v>
      </c>
      <c r="AK10" s="14"/>
      <c r="AL10" s="22">
        <v>115068</v>
      </c>
      <c r="AM10" s="153">
        <v>116093</v>
      </c>
      <c r="AN10" s="153">
        <v>116372</v>
      </c>
      <c r="AO10" s="153">
        <v>24148</v>
      </c>
      <c r="AQ10" s="22">
        <v>1752</v>
      </c>
      <c r="AR10" s="153">
        <v>2090</v>
      </c>
      <c r="AS10" s="153">
        <v>4235</v>
      </c>
      <c r="AT10" s="153">
        <v>16237</v>
      </c>
      <c r="AU10" s="14"/>
      <c r="AV10" s="22">
        <v>8046</v>
      </c>
      <c r="AW10" s="153">
        <v>200830</v>
      </c>
      <c r="AX10" s="153">
        <v>86344</v>
      </c>
      <c r="AY10" s="153">
        <v>72319</v>
      </c>
      <c r="AZ10" s="14"/>
      <c r="BA10" s="22">
        <v>14248</v>
      </c>
      <c r="BB10" s="22">
        <v>233052</v>
      </c>
      <c r="BC10" s="22">
        <v>427632</v>
      </c>
      <c r="BD10" s="22">
        <v>410866</v>
      </c>
    </row>
    <row r="11" spans="2:56" ht="16.5" customHeight="1">
      <c r="B11" s="12" t="s">
        <v>83</v>
      </c>
      <c r="C11" s="153">
        <v>2681</v>
      </c>
      <c r="D11" s="12"/>
      <c r="E11" s="22">
        <v>4375</v>
      </c>
      <c r="F11" s="153">
        <v>0</v>
      </c>
      <c r="G11" s="153">
        <v>0</v>
      </c>
      <c r="H11" s="153">
        <v>0</v>
      </c>
      <c r="J11" s="22">
        <v>2696</v>
      </c>
      <c r="K11" s="22">
        <v>1184</v>
      </c>
      <c r="L11" s="22">
        <v>17393</v>
      </c>
      <c r="M11" s="22">
        <v>15940</v>
      </c>
      <c r="N11" s="22">
        <v>15940</v>
      </c>
      <c r="P11" s="153">
        <v>0</v>
      </c>
      <c r="Q11" s="153">
        <v>0</v>
      </c>
      <c r="R11" s="153">
        <v>0</v>
      </c>
      <c r="S11" s="153">
        <v>0</v>
      </c>
      <c r="T11" s="153">
        <v>0</v>
      </c>
      <c r="U11" s="153">
        <v>0</v>
      </c>
      <c r="W11" s="153">
        <v>0</v>
      </c>
      <c r="X11" s="153">
        <v>0</v>
      </c>
      <c r="Y11" s="116">
        <v>0</v>
      </c>
      <c r="Z11" s="116">
        <v>0</v>
      </c>
      <c r="AB11" s="153">
        <v>0</v>
      </c>
      <c r="AC11" s="153">
        <v>0</v>
      </c>
      <c r="AD11" s="116">
        <v>3822</v>
      </c>
      <c r="AE11" s="116">
        <v>2932</v>
      </c>
      <c r="AF11" s="14"/>
      <c r="AG11" s="153">
        <v>0</v>
      </c>
      <c r="AH11" s="153">
        <v>0</v>
      </c>
      <c r="AI11" s="153">
        <v>0</v>
      </c>
      <c r="AJ11" s="153">
        <v>0</v>
      </c>
      <c r="AK11" s="14"/>
      <c r="AL11" s="153">
        <v>0</v>
      </c>
      <c r="AM11" s="153">
        <v>837</v>
      </c>
      <c r="AN11" s="153">
        <v>0</v>
      </c>
      <c r="AO11" s="153">
        <v>0</v>
      </c>
      <c r="AQ11" s="153">
        <v>83</v>
      </c>
      <c r="AR11" s="153">
        <v>439</v>
      </c>
      <c r="AS11" s="153">
        <v>1796</v>
      </c>
      <c r="AT11" s="153">
        <v>3000</v>
      </c>
      <c r="AU11" s="14"/>
      <c r="AV11" s="153">
        <v>3852</v>
      </c>
      <c r="AW11" s="153">
        <v>1937</v>
      </c>
      <c r="AX11" s="153">
        <v>2304</v>
      </c>
      <c r="AY11" s="153">
        <v>3521</v>
      </c>
      <c r="AZ11" s="14"/>
      <c r="BA11" s="153">
        <v>2514</v>
      </c>
      <c r="BB11" s="153">
        <v>2172</v>
      </c>
      <c r="BC11" s="153">
        <v>2241</v>
      </c>
      <c r="BD11" s="153">
        <v>9936</v>
      </c>
    </row>
    <row r="12" spans="2:56" ht="16.5" customHeight="1">
      <c r="B12" s="12" t="s">
        <v>214</v>
      </c>
      <c r="C12" s="153">
        <v>55478</v>
      </c>
      <c r="D12" s="12"/>
      <c r="E12" s="153">
        <v>60316</v>
      </c>
      <c r="F12" s="153">
        <v>0</v>
      </c>
      <c r="G12" s="153">
        <v>30065</v>
      </c>
      <c r="H12" s="153">
        <v>15165</v>
      </c>
      <c r="J12" s="153">
        <v>0</v>
      </c>
      <c r="K12" s="153">
        <v>0</v>
      </c>
      <c r="L12" s="153">
        <v>15000</v>
      </c>
      <c r="M12" s="153">
        <v>0</v>
      </c>
      <c r="N12" s="153" t="s">
        <v>184</v>
      </c>
      <c r="P12" s="153">
        <v>0</v>
      </c>
      <c r="Q12" s="153">
        <v>2129</v>
      </c>
      <c r="R12" s="153">
        <v>0</v>
      </c>
      <c r="S12" s="153">
        <v>0</v>
      </c>
      <c r="T12" s="153">
        <v>0</v>
      </c>
      <c r="U12" s="153">
        <v>0</v>
      </c>
      <c r="W12" s="153">
        <v>0</v>
      </c>
      <c r="X12" s="153">
        <v>0</v>
      </c>
      <c r="Y12" s="116">
        <v>162476</v>
      </c>
      <c r="Z12" s="116">
        <v>13692</v>
      </c>
      <c r="AB12" s="153">
        <v>10206</v>
      </c>
      <c r="AC12" s="153">
        <v>0</v>
      </c>
      <c r="AD12" s="116">
        <v>0</v>
      </c>
      <c r="AE12" s="116">
        <v>0</v>
      </c>
      <c r="AF12" s="14"/>
      <c r="AG12" s="153"/>
      <c r="AH12" s="153">
        <v>0</v>
      </c>
      <c r="AI12" s="153">
        <v>0</v>
      </c>
      <c r="AJ12" s="153">
        <v>0</v>
      </c>
      <c r="AK12" s="14"/>
      <c r="AL12" s="153"/>
      <c r="AM12" s="153">
        <v>0</v>
      </c>
      <c r="AN12" s="153">
        <v>0</v>
      </c>
      <c r="AO12" s="153">
        <v>0</v>
      </c>
      <c r="AQ12" s="153"/>
      <c r="AR12" s="153"/>
      <c r="AS12" s="153"/>
      <c r="AT12" s="153">
        <v>0</v>
      </c>
      <c r="AU12" s="14"/>
      <c r="AV12" s="153">
        <v>16547</v>
      </c>
      <c r="AW12" s="153">
        <v>192218</v>
      </c>
      <c r="AX12" s="153">
        <v>179820</v>
      </c>
      <c r="AY12" s="153">
        <v>180828</v>
      </c>
      <c r="AZ12" s="14"/>
      <c r="BA12" s="153">
        <v>5231</v>
      </c>
      <c r="BB12" s="153">
        <v>5138</v>
      </c>
      <c r="BC12" s="153">
        <v>45751</v>
      </c>
      <c r="BD12" s="153">
        <v>43954</v>
      </c>
    </row>
    <row r="13" spans="2:56">
      <c r="B13" s="12" t="s">
        <v>149</v>
      </c>
      <c r="C13" s="22">
        <v>208189</v>
      </c>
      <c r="D13" s="12"/>
      <c r="E13" s="22">
        <v>458659</v>
      </c>
      <c r="F13" s="22">
        <v>379799</v>
      </c>
      <c r="G13" s="22">
        <f>277940+1</f>
        <v>277941</v>
      </c>
      <c r="H13" s="22">
        <v>210989</v>
      </c>
      <c r="J13" s="22">
        <v>447252</v>
      </c>
      <c r="K13" s="22">
        <v>362123</v>
      </c>
      <c r="L13" s="22">
        <v>319542</v>
      </c>
      <c r="M13" s="22">
        <v>231844</v>
      </c>
      <c r="N13" s="22">
        <v>231844</v>
      </c>
      <c r="P13" s="22">
        <v>435227</v>
      </c>
      <c r="Q13" s="22">
        <v>318151</v>
      </c>
      <c r="R13" s="22">
        <v>261026</v>
      </c>
      <c r="S13" s="22">
        <v>260997</v>
      </c>
      <c r="T13" s="22">
        <v>266766</v>
      </c>
      <c r="U13" s="22">
        <v>271659</v>
      </c>
      <c r="W13" s="22">
        <v>547860</v>
      </c>
      <c r="X13" s="22">
        <v>384576</v>
      </c>
      <c r="Y13" s="116">
        <v>387617</v>
      </c>
      <c r="Z13" s="116">
        <v>198433</v>
      </c>
      <c r="AB13" s="22">
        <v>567510</v>
      </c>
      <c r="AC13" s="22">
        <v>467637</v>
      </c>
      <c r="AD13" s="116">
        <v>234105</v>
      </c>
      <c r="AE13" s="116">
        <v>172699</v>
      </c>
      <c r="AF13" s="14"/>
      <c r="AG13" s="22">
        <v>498101</v>
      </c>
      <c r="AH13" s="153">
        <v>365488</v>
      </c>
      <c r="AI13" s="153">
        <v>283086</v>
      </c>
      <c r="AJ13" s="153">
        <v>254041</v>
      </c>
      <c r="AK13" s="14"/>
      <c r="AL13" s="22">
        <v>675079</v>
      </c>
      <c r="AM13" s="153">
        <v>593858</v>
      </c>
      <c r="AN13" s="153">
        <v>515850</v>
      </c>
      <c r="AO13" s="153">
        <v>330216</v>
      </c>
      <c r="AQ13" s="22">
        <v>555556</v>
      </c>
      <c r="AR13" s="153">
        <v>341546</v>
      </c>
      <c r="AS13" s="153">
        <v>307281</v>
      </c>
      <c r="AT13" s="153">
        <v>200051</v>
      </c>
      <c r="AU13" s="14"/>
      <c r="AV13" s="22">
        <v>981584</v>
      </c>
      <c r="AW13" s="153">
        <v>458191</v>
      </c>
      <c r="AX13" s="153">
        <v>345732</v>
      </c>
      <c r="AY13" s="153">
        <v>262194</v>
      </c>
      <c r="AZ13" s="14"/>
      <c r="BA13" s="22">
        <v>584330</v>
      </c>
      <c r="BB13" s="22">
        <v>583775</v>
      </c>
      <c r="BC13" s="22">
        <v>436179</v>
      </c>
      <c r="BD13" s="22">
        <v>407870</v>
      </c>
    </row>
    <row r="14" spans="2:56" ht="16.5" customHeight="1">
      <c r="B14" s="12" t="s">
        <v>30</v>
      </c>
      <c r="C14" s="22">
        <v>52011</v>
      </c>
      <c r="D14" s="12"/>
      <c r="E14" s="22">
        <v>27415</v>
      </c>
      <c r="F14" s="22">
        <v>29057</v>
      </c>
      <c r="G14" s="22">
        <v>30903</v>
      </c>
      <c r="H14" s="22">
        <v>17729</v>
      </c>
      <c r="J14" s="22">
        <v>37032</v>
      </c>
      <c r="K14" s="22">
        <v>43090</v>
      </c>
      <c r="L14" s="22">
        <v>46116</v>
      </c>
      <c r="M14" s="22">
        <v>9448</v>
      </c>
      <c r="N14" s="22">
        <v>9448</v>
      </c>
      <c r="P14" s="22">
        <v>5844</v>
      </c>
      <c r="Q14" s="22">
        <v>92560</v>
      </c>
      <c r="R14" s="22">
        <v>102371</v>
      </c>
      <c r="S14" s="22">
        <v>96864</v>
      </c>
      <c r="T14" s="22">
        <v>81488</v>
      </c>
      <c r="U14" s="22">
        <v>81818</v>
      </c>
      <c r="W14" s="22">
        <v>130304</v>
      </c>
      <c r="X14" s="22">
        <v>128656</v>
      </c>
      <c r="Y14" s="116">
        <v>119616</v>
      </c>
      <c r="Z14" s="116">
        <v>164685</v>
      </c>
      <c r="AB14" s="22">
        <v>164877</v>
      </c>
      <c r="AC14" s="22">
        <v>165035</v>
      </c>
      <c r="AD14" s="116">
        <v>165170</v>
      </c>
      <c r="AE14" s="118">
        <v>172868</v>
      </c>
      <c r="AF14" s="14"/>
      <c r="AG14" s="22">
        <v>167740</v>
      </c>
      <c r="AH14" s="153">
        <v>167976</v>
      </c>
      <c r="AI14" s="153">
        <v>168092</v>
      </c>
      <c r="AJ14" s="153">
        <v>169602</v>
      </c>
      <c r="AK14" s="14"/>
      <c r="AL14" s="22">
        <v>169877</v>
      </c>
      <c r="AM14" s="153">
        <v>228152</v>
      </c>
      <c r="AN14" s="153">
        <v>254583</v>
      </c>
      <c r="AO14" s="153">
        <v>248887</v>
      </c>
      <c r="AQ14" s="22">
        <v>249758</v>
      </c>
      <c r="AR14" s="153">
        <v>194384</v>
      </c>
      <c r="AS14" s="153">
        <v>191889</v>
      </c>
      <c r="AT14" s="153">
        <v>200354</v>
      </c>
      <c r="AU14" s="14"/>
      <c r="AV14" s="22">
        <v>263573</v>
      </c>
      <c r="AW14" s="153">
        <v>257774</v>
      </c>
      <c r="AX14" s="153">
        <v>249493</v>
      </c>
      <c r="AY14" s="153">
        <v>268832</v>
      </c>
      <c r="AZ14" s="14"/>
      <c r="BA14" s="22">
        <v>259796</v>
      </c>
      <c r="BB14" s="22">
        <v>329378</v>
      </c>
      <c r="BC14" s="22">
        <v>327745</v>
      </c>
      <c r="BD14" s="22">
        <v>293414</v>
      </c>
    </row>
    <row r="15" spans="2:56" ht="16.5" customHeight="1">
      <c r="B15" s="12" t="s">
        <v>131</v>
      </c>
      <c r="C15" s="153">
        <v>0</v>
      </c>
      <c r="D15" s="12"/>
      <c r="E15" s="153">
        <v>0</v>
      </c>
      <c r="F15" s="153">
        <v>0</v>
      </c>
      <c r="G15" s="153">
        <v>0</v>
      </c>
      <c r="H15" s="153">
        <v>0</v>
      </c>
      <c r="J15" s="153">
        <v>0</v>
      </c>
      <c r="K15" s="153">
        <v>0</v>
      </c>
      <c r="L15" s="153">
        <v>0</v>
      </c>
      <c r="M15" s="153">
        <v>0</v>
      </c>
      <c r="N15" s="153">
        <v>0</v>
      </c>
      <c r="P15" s="153">
        <v>0</v>
      </c>
      <c r="Q15" s="153">
        <v>0</v>
      </c>
      <c r="R15" s="153">
        <v>0</v>
      </c>
      <c r="S15" s="153">
        <v>0</v>
      </c>
      <c r="T15" s="153">
        <v>0</v>
      </c>
      <c r="U15" s="153">
        <v>0</v>
      </c>
      <c r="W15" s="153">
        <v>0</v>
      </c>
      <c r="X15" s="194">
        <v>0</v>
      </c>
      <c r="Y15" s="116">
        <v>0</v>
      </c>
      <c r="Z15" s="116">
        <v>0</v>
      </c>
      <c r="AB15" s="153">
        <v>0</v>
      </c>
      <c r="AC15" s="194">
        <v>0</v>
      </c>
      <c r="AD15" s="116">
        <v>0</v>
      </c>
      <c r="AE15" s="116">
        <v>0</v>
      </c>
      <c r="AF15" s="14"/>
      <c r="AG15" s="153"/>
      <c r="AH15" s="153">
        <v>0</v>
      </c>
      <c r="AI15" s="153">
        <v>0</v>
      </c>
      <c r="AJ15" s="153">
        <v>0</v>
      </c>
      <c r="AK15" s="14"/>
      <c r="AL15" s="153"/>
      <c r="AM15" s="153"/>
      <c r="AN15" s="153"/>
      <c r="AO15" s="116">
        <v>0</v>
      </c>
      <c r="AQ15" s="153"/>
      <c r="AR15" s="153"/>
      <c r="AS15" s="153"/>
      <c r="AT15" s="153"/>
      <c r="AU15" s="14"/>
      <c r="AV15" s="153"/>
      <c r="AW15" s="153"/>
      <c r="AX15" s="153"/>
      <c r="AY15" s="153">
        <v>0</v>
      </c>
      <c r="AZ15" s="14"/>
      <c r="BA15" s="153">
        <v>0</v>
      </c>
      <c r="BB15" s="153">
        <v>0</v>
      </c>
      <c r="BC15" s="153">
        <v>0</v>
      </c>
      <c r="BD15" s="153">
        <v>0</v>
      </c>
    </row>
    <row r="16" spans="2:56">
      <c r="B16" s="12" t="s">
        <v>157</v>
      </c>
      <c r="C16" s="22">
        <v>1623</v>
      </c>
      <c r="D16" s="12"/>
      <c r="E16" s="22">
        <v>22345</v>
      </c>
      <c r="F16" s="22">
        <v>2933</v>
      </c>
      <c r="G16" s="22">
        <v>2785</v>
      </c>
      <c r="H16" s="22">
        <v>2644</v>
      </c>
      <c r="J16" s="22">
        <v>61586</v>
      </c>
      <c r="K16" s="22">
        <v>1750</v>
      </c>
      <c r="L16" s="22">
        <v>2833</v>
      </c>
      <c r="M16" s="22">
        <v>1050</v>
      </c>
      <c r="N16" s="22">
        <v>1050</v>
      </c>
      <c r="P16" s="22">
        <v>2211</v>
      </c>
      <c r="Q16" s="22">
        <v>8367</v>
      </c>
      <c r="R16" s="22">
        <v>6699</v>
      </c>
      <c r="S16" s="22">
        <v>6728</v>
      </c>
      <c r="T16" s="22">
        <v>6660</v>
      </c>
      <c r="U16" s="22">
        <v>6667</v>
      </c>
      <c r="W16" s="22">
        <v>6384</v>
      </c>
      <c r="X16" s="22">
        <v>5696</v>
      </c>
      <c r="Y16" s="116">
        <v>6719</v>
      </c>
      <c r="Z16" s="116">
        <v>3660</v>
      </c>
      <c r="AB16" s="22">
        <v>3349</v>
      </c>
      <c r="AC16" s="22">
        <v>2369</v>
      </c>
      <c r="AD16" s="116">
        <v>3887</v>
      </c>
      <c r="AE16" s="116">
        <v>1656</v>
      </c>
      <c r="AF16" s="14"/>
      <c r="AG16" s="22">
        <v>2449</v>
      </c>
      <c r="AH16" s="153">
        <v>2538</v>
      </c>
      <c r="AI16" s="153">
        <v>2783</v>
      </c>
      <c r="AJ16" s="153">
        <v>1189</v>
      </c>
      <c r="AK16" s="14"/>
      <c r="AL16" s="22">
        <v>1972</v>
      </c>
      <c r="AM16" s="153">
        <v>2392</v>
      </c>
      <c r="AN16" s="153">
        <v>3150</v>
      </c>
      <c r="AO16" s="153">
        <v>5026</v>
      </c>
      <c r="AQ16" s="22">
        <v>6465</v>
      </c>
      <c r="AR16" s="153">
        <v>9110</v>
      </c>
      <c r="AS16" s="153">
        <v>8517</v>
      </c>
      <c r="AT16" s="153">
        <v>5631</v>
      </c>
      <c r="AU16" s="14"/>
      <c r="AV16" s="22">
        <v>4472</v>
      </c>
      <c r="AW16" s="153">
        <v>16182</v>
      </c>
      <c r="AX16" s="153">
        <v>20700</v>
      </c>
      <c r="AY16" s="153">
        <v>32209</v>
      </c>
      <c r="AZ16" s="14"/>
      <c r="BA16" s="22">
        <v>24466</v>
      </c>
      <c r="BB16" s="22">
        <v>19970</v>
      </c>
      <c r="BC16" s="22">
        <v>14865</v>
      </c>
      <c r="BD16" s="22">
        <v>24178</v>
      </c>
    </row>
    <row r="17" spans="2:56" ht="17.25" customHeight="1">
      <c r="B17" s="12" t="s">
        <v>60</v>
      </c>
      <c r="C17" s="153">
        <v>7</v>
      </c>
      <c r="D17" s="12"/>
      <c r="E17" s="22">
        <v>27</v>
      </c>
      <c r="F17" s="22">
        <v>27</v>
      </c>
      <c r="G17" s="22">
        <v>27</v>
      </c>
      <c r="H17" s="153">
        <v>0</v>
      </c>
      <c r="J17" s="22">
        <v>21</v>
      </c>
      <c r="K17" s="22">
        <v>21</v>
      </c>
      <c r="L17" s="22">
        <v>21</v>
      </c>
      <c r="M17" s="22">
        <v>94740</v>
      </c>
      <c r="N17" s="153">
        <v>0</v>
      </c>
      <c r="P17" s="22">
        <v>94740</v>
      </c>
      <c r="Q17" s="22">
        <v>94740</v>
      </c>
      <c r="R17" s="22">
        <v>94740</v>
      </c>
      <c r="S17" s="194">
        <v>0</v>
      </c>
      <c r="T17" s="153">
        <v>0</v>
      </c>
      <c r="U17" s="153">
        <v>140</v>
      </c>
      <c r="W17" s="153">
        <v>0</v>
      </c>
      <c r="X17" s="153">
        <v>0</v>
      </c>
      <c r="Y17" s="116">
        <v>0</v>
      </c>
      <c r="Z17" s="116">
        <v>0</v>
      </c>
      <c r="AB17" s="153">
        <v>0</v>
      </c>
      <c r="AC17" s="153">
        <v>0</v>
      </c>
      <c r="AD17" s="116">
        <v>0</v>
      </c>
      <c r="AE17" s="116">
        <v>0</v>
      </c>
      <c r="AF17" s="14"/>
      <c r="AG17" s="153">
        <v>0</v>
      </c>
      <c r="AH17" s="153">
        <v>0</v>
      </c>
      <c r="AI17" s="153">
        <v>0</v>
      </c>
      <c r="AJ17" s="153">
        <v>24478</v>
      </c>
      <c r="AK17" s="14"/>
      <c r="AL17" s="153">
        <v>0</v>
      </c>
      <c r="AM17" s="153">
        <v>835</v>
      </c>
      <c r="AN17" s="153">
        <v>0</v>
      </c>
      <c r="AO17" s="153">
        <v>0</v>
      </c>
      <c r="AQ17" s="153">
        <v>1148</v>
      </c>
      <c r="AR17" s="153">
        <v>0</v>
      </c>
      <c r="AS17" s="153"/>
      <c r="AT17" s="153">
        <v>0</v>
      </c>
      <c r="AU17" s="14"/>
      <c r="AV17" s="153">
        <v>0</v>
      </c>
      <c r="AW17" s="153">
        <v>0</v>
      </c>
      <c r="AX17" s="153">
        <v>64617</v>
      </c>
      <c r="AY17" s="153">
        <v>64617</v>
      </c>
      <c r="AZ17" s="14"/>
      <c r="BA17" s="153">
        <v>64617</v>
      </c>
      <c r="BB17" s="153">
        <v>2372131</v>
      </c>
      <c r="BC17" s="153">
        <v>2240472</v>
      </c>
      <c r="BD17" s="153">
        <v>2035970</v>
      </c>
    </row>
    <row r="18" spans="2:56">
      <c r="B18" s="12"/>
      <c r="C18" s="22"/>
      <c r="D18" s="12"/>
      <c r="E18" s="22"/>
      <c r="F18" s="22"/>
      <c r="G18" s="22"/>
      <c r="H18" s="22"/>
      <c r="J18" s="22"/>
      <c r="K18" s="22"/>
      <c r="L18" s="22"/>
      <c r="M18" s="22"/>
      <c r="N18" s="22"/>
      <c r="P18" s="22"/>
      <c r="Q18" s="22"/>
      <c r="R18" s="22"/>
      <c r="S18" s="22"/>
      <c r="T18" s="22"/>
      <c r="U18" s="22"/>
      <c r="W18" s="22"/>
      <c r="X18" s="22"/>
      <c r="AB18" s="22"/>
      <c r="AC18" s="22"/>
      <c r="AF18" s="14"/>
      <c r="AG18" s="22"/>
      <c r="AH18" s="22"/>
      <c r="AK18" s="14"/>
      <c r="AL18" s="22"/>
      <c r="AM18" s="22"/>
      <c r="AQ18" s="22"/>
      <c r="AR18" s="22"/>
      <c r="AS18" s="22"/>
      <c r="AT18" s="22"/>
      <c r="AU18" s="14"/>
      <c r="AV18" s="22"/>
      <c r="AW18" s="22"/>
      <c r="AX18" s="22"/>
      <c r="AY18" s="22"/>
      <c r="AZ18" s="14"/>
      <c r="BA18" s="22"/>
      <c r="BB18" s="22"/>
      <c r="BC18" s="22"/>
      <c r="BD18" s="22"/>
    </row>
    <row r="19" spans="2:56" ht="16.5" customHeight="1">
      <c r="B19" s="24" t="s">
        <v>51</v>
      </c>
      <c r="C19" s="25">
        <f>+SUM(C10:C17)</f>
        <v>340398</v>
      </c>
      <c r="D19" s="24"/>
      <c r="E19" s="25">
        <f>+SUM(E10:E17)</f>
        <v>617515</v>
      </c>
      <c r="F19" s="25">
        <f>+SUM(F10:F17)</f>
        <v>446695</v>
      </c>
      <c r="G19" s="25">
        <f>+SUM(G10:G17)</f>
        <v>710140</v>
      </c>
      <c r="H19" s="25">
        <f>+SUM(H10:H17)</f>
        <v>412505</v>
      </c>
      <c r="I19" s="26"/>
      <c r="J19" s="25">
        <f>+SUM(J10:J17)</f>
        <v>761270</v>
      </c>
      <c r="K19" s="25">
        <f>+SUM(K10:K17)</f>
        <v>433790</v>
      </c>
      <c r="L19" s="25">
        <f>+SUM(L10:L17)</f>
        <v>800120</v>
      </c>
      <c r="M19" s="25">
        <f>+SUM(M10:M17)</f>
        <v>664476</v>
      </c>
      <c r="N19" s="25">
        <f>+SUM(N10:N17)</f>
        <v>569736</v>
      </c>
      <c r="P19" s="25">
        <f t="shared" ref="P19:U19" si="0">+SUM(P10:P17)</f>
        <v>683083</v>
      </c>
      <c r="Q19" s="25">
        <f t="shared" si="0"/>
        <v>552405</v>
      </c>
      <c r="R19" s="25">
        <f t="shared" si="0"/>
        <v>630398</v>
      </c>
      <c r="S19" s="25">
        <f t="shared" si="0"/>
        <v>530151</v>
      </c>
      <c r="T19" s="25">
        <f t="shared" si="0"/>
        <v>534272</v>
      </c>
      <c r="U19" s="25">
        <f t="shared" si="0"/>
        <v>540295</v>
      </c>
      <c r="W19" s="25">
        <f>+SUM(W10:W17)</f>
        <v>688766</v>
      </c>
      <c r="X19" s="25">
        <f>+SUM(X10:X17)</f>
        <v>590565</v>
      </c>
      <c r="Y19" s="25">
        <f>+SUM(Y10:Y17)</f>
        <v>782578</v>
      </c>
      <c r="Z19" s="25">
        <f>+SUM(Z10:Z17)</f>
        <v>679552</v>
      </c>
      <c r="AB19" s="25">
        <f>+SUM(AB10:AB17)</f>
        <v>825408</v>
      </c>
      <c r="AC19" s="25">
        <f>+SUM(AC10:AC17)</f>
        <v>648902</v>
      </c>
      <c r="AD19" s="25">
        <f>+SUM(AD10:AD17)</f>
        <v>409473</v>
      </c>
      <c r="AE19" s="25">
        <f>+SUM(AE10:AE17)</f>
        <v>355005</v>
      </c>
      <c r="AF19" s="14"/>
      <c r="AG19" s="25">
        <f>+SUM(AG10:AG17)</f>
        <v>675820</v>
      </c>
      <c r="AH19" s="25">
        <f>+SUM(AH10:AH17)</f>
        <v>537812</v>
      </c>
      <c r="AI19" s="25">
        <f>+SUM(AI10:AI17)</f>
        <v>455933</v>
      </c>
      <c r="AJ19" s="25">
        <f>+SUM(AJ10:AJ17)</f>
        <v>451039</v>
      </c>
      <c r="AK19" s="14"/>
      <c r="AL19" s="25">
        <f>+SUM(AL10:AL17)</f>
        <v>961996</v>
      </c>
      <c r="AM19" s="25">
        <f>+SUM(AM10:AM17)</f>
        <v>942167</v>
      </c>
      <c r="AN19" s="25">
        <f>+SUM(AN10:AN17)</f>
        <v>889955</v>
      </c>
      <c r="AO19" s="25">
        <f>+SUM(AO10:AO17)</f>
        <v>608277</v>
      </c>
      <c r="AQ19" s="25">
        <f>+SUM(AQ10:AQ17)</f>
        <v>814762</v>
      </c>
      <c r="AR19" s="25">
        <f>+SUM(AR10:AR17)</f>
        <v>547569</v>
      </c>
      <c r="AS19" s="25">
        <f>+SUM(AS10:AS17)</f>
        <v>513718</v>
      </c>
      <c r="AT19" s="25">
        <f>+SUM(AT10:AT17)</f>
        <v>425273</v>
      </c>
      <c r="AU19" s="14"/>
      <c r="AV19" s="25">
        <f>+SUM(AV10:AV17)</f>
        <v>1278074</v>
      </c>
      <c r="AW19" s="25">
        <f>+SUM(AW10:AW17)</f>
        <v>1127132</v>
      </c>
      <c r="AX19" s="25">
        <v>949010</v>
      </c>
      <c r="AY19" s="25">
        <v>884520</v>
      </c>
      <c r="AZ19" s="14"/>
      <c r="BA19" s="25">
        <v>955202</v>
      </c>
      <c r="BB19" s="25">
        <v>3545616</v>
      </c>
      <c r="BC19" s="25">
        <v>3494885</v>
      </c>
      <c r="BD19" s="25">
        <v>3226188</v>
      </c>
    </row>
    <row r="20" spans="2:56" ht="4.5" customHeight="1">
      <c r="C20" s="22"/>
      <c r="E20" s="22"/>
      <c r="F20" s="22"/>
      <c r="G20" s="22"/>
      <c r="H20" s="22"/>
      <c r="J20" s="22"/>
      <c r="K20" s="22"/>
      <c r="L20" s="22"/>
      <c r="M20" s="22"/>
      <c r="N20" s="22"/>
      <c r="P20" s="22"/>
      <c r="Q20" s="22"/>
      <c r="R20" s="22"/>
      <c r="S20" s="22"/>
      <c r="T20" s="22"/>
      <c r="U20" s="22"/>
      <c r="W20" s="22"/>
      <c r="AB20" s="22"/>
      <c r="AG20" s="22"/>
      <c r="AL20" s="22"/>
      <c r="AQ20" s="22"/>
      <c r="AU20" s="14"/>
      <c r="AZ20" s="14"/>
      <c r="BA20" s="22"/>
      <c r="BB20" s="22"/>
    </row>
    <row r="21" spans="2:56" ht="15.75" customHeight="1">
      <c r="B21" s="15" t="s">
        <v>31</v>
      </c>
      <c r="C21" s="22">
        <f>11939487-1</f>
        <v>11939486</v>
      </c>
      <c r="D21" s="15"/>
      <c r="E21" s="22">
        <v>12002319</v>
      </c>
      <c r="F21" s="22">
        <v>12127161</v>
      </c>
      <c r="G21" s="22">
        <v>12245131</v>
      </c>
      <c r="H21" s="22">
        <v>12613801</v>
      </c>
      <c r="J21" s="22">
        <v>11850219</v>
      </c>
      <c r="K21" s="22">
        <v>13063539</v>
      </c>
      <c r="L21" s="22">
        <v>13355749</v>
      </c>
      <c r="M21" s="22">
        <f>13604214</f>
        <v>13604214</v>
      </c>
      <c r="N21" s="22">
        <v>13628417</v>
      </c>
      <c r="P21" s="22">
        <v>13638225</v>
      </c>
      <c r="Q21" s="22">
        <v>13649185</v>
      </c>
      <c r="R21" s="22">
        <v>13489078</v>
      </c>
      <c r="S21" s="22">
        <v>13486342</v>
      </c>
      <c r="T21" s="22">
        <v>14515263</v>
      </c>
      <c r="U21" s="22">
        <v>14377651</v>
      </c>
      <c r="W21" s="22">
        <v>14669083</v>
      </c>
      <c r="X21" s="22">
        <v>14978206</v>
      </c>
      <c r="Y21" s="22">
        <v>14737345</v>
      </c>
      <c r="Z21" s="22">
        <v>14687131</v>
      </c>
      <c r="AB21" s="22">
        <v>14606363</v>
      </c>
      <c r="AC21" s="22">
        <v>14901185</v>
      </c>
      <c r="AD21" s="22">
        <v>15017073</v>
      </c>
      <c r="AE21" s="22">
        <v>15219881</v>
      </c>
      <c r="AF21" s="14"/>
      <c r="AG21" s="22">
        <v>14896138</v>
      </c>
      <c r="AH21" s="22">
        <v>14911228</v>
      </c>
      <c r="AI21" s="22">
        <v>15599154</v>
      </c>
      <c r="AJ21" s="22">
        <v>15341472</v>
      </c>
      <c r="AK21" s="14"/>
      <c r="AL21" s="22">
        <v>15556214</v>
      </c>
      <c r="AM21" s="22">
        <v>15203786</v>
      </c>
      <c r="AN21" s="22">
        <v>15491826</v>
      </c>
      <c r="AO21" s="22">
        <v>14934627</v>
      </c>
      <c r="AQ21" s="22">
        <v>15148144</v>
      </c>
      <c r="AR21" s="22">
        <v>15358219</v>
      </c>
      <c r="AS21" s="22">
        <v>15483775</v>
      </c>
      <c r="AT21" s="22">
        <v>16160782</v>
      </c>
      <c r="AU21" s="14"/>
      <c r="AV21" s="22">
        <v>16015551</v>
      </c>
      <c r="AW21" s="22">
        <v>16494041</v>
      </c>
      <c r="AX21" s="22">
        <v>17119306</v>
      </c>
      <c r="AY21" s="22">
        <v>17937344</v>
      </c>
      <c r="AZ21" s="14"/>
      <c r="BA21" s="22">
        <v>18325744</v>
      </c>
      <c r="BB21" s="22">
        <v>15279491</v>
      </c>
      <c r="BC21" s="22">
        <v>14890167</v>
      </c>
      <c r="BD21" s="22">
        <v>14288963</v>
      </c>
    </row>
    <row r="22" spans="2:56">
      <c r="B22" s="12" t="s">
        <v>149</v>
      </c>
      <c r="C22" s="22">
        <v>5113</v>
      </c>
      <c r="D22" s="12"/>
      <c r="E22" s="22">
        <v>5146</v>
      </c>
      <c r="F22" s="22">
        <f>5475+1</f>
        <v>5476</v>
      </c>
      <c r="G22" s="22">
        <v>5635</v>
      </c>
      <c r="H22" s="22">
        <v>6134</v>
      </c>
      <c r="J22" s="22">
        <v>2673</v>
      </c>
      <c r="K22" s="22">
        <v>5856</v>
      </c>
      <c r="L22" s="22">
        <v>5261</v>
      </c>
      <c r="M22" s="22">
        <v>3382</v>
      </c>
      <c r="N22" s="22">
        <v>3382</v>
      </c>
      <c r="P22" s="22">
        <v>3660</v>
      </c>
      <c r="Q22" s="22">
        <v>3998</v>
      </c>
      <c r="R22" s="22">
        <v>4041</v>
      </c>
      <c r="S22" s="22">
        <v>4041</v>
      </c>
      <c r="T22" s="22">
        <v>4166</v>
      </c>
      <c r="U22" s="22">
        <v>4166</v>
      </c>
      <c r="W22" s="22">
        <v>35178</v>
      </c>
      <c r="X22" s="22">
        <v>22999</v>
      </c>
      <c r="Y22" s="22">
        <v>13550</v>
      </c>
      <c r="Z22" s="22">
        <v>11965</v>
      </c>
      <c r="AB22" s="22">
        <v>11882</v>
      </c>
      <c r="AC22" s="22">
        <v>7891</v>
      </c>
      <c r="AD22" s="22">
        <v>103711</v>
      </c>
      <c r="AE22" s="22">
        <v>107903</v>
      </c>
      <c r="AF22" s="14"/>
      <c r="AG22" s="22">
        <v>102038</v>
      </c>
      <c r="AH22" s="22">
        <v>98277</v>
      </c>
      <c r="AI22" s="22">
        <v>94671</v>
      </c>
      <c r="AJ22" s="22">
        <v>96511</v>
      </c>
      <c r="AK22" s="14"/>
      <c r="AL22" s="22">
        <v>101955</v>
      </c>
      <c r="AM22" s="22">
        <v>102388</v>
      </c>
      <c r="AN22" s="22">
        <v>34925</v>
      </c>
      <c r="AO22" s="22">
        <v>32062</v>
      </c>
      <c r="AQ22" s="22">
        <v>34106</v>
      </c>
      <c r="AR22" s="22">
        <v>157071</v>
      </c>
      <c r="AS22" s="22">
        <v>162956</v>
      </c>
      <c r="AT22" s="22">
        <v>151249</v>
      </c>
      <c r="AU22" s="14"/>
      <c r="AV22" s="22">
        <v>166808</v>
      </c>
      <c r="AW22" s="22">
        <v>158689</v>
      </c>
      <c r="AX22" s="22">
        <v>159606</v>
      </c>
      <c r="AY22" s="22">
        <v>112594</v>
      </c>
      <c r="AZ22" s="14"/>
      <c r="BA22" s="22">
        <v>116412</v>
      </c>
      <c r="BB22" s="22">
        <v>114698</v>
      </c>
      <c r="BC22" s="22">
        <v>121876</v>
      </c>
      <c r="BD22" s="22">
        <v>127049</v>
      </c>
    </row>
    <row r="23" spans="2:56" ht="15.75" customHeight="1">
      <c r="B23" s="15" t="s">
        <v>30</v>
      </c>
      <c r="C23" s="153">
        <v>0</v>
      </c>
      <c r="D23" s="15"/>
      <c r="E23" s="153">
        <v>0</v>
      </c>
      <c r="F23" s="153">
        <v>0</v>
      </c>
      <c r="G23" s="153">
        <v>0</v>
      </c>
      <c r="H23" s="153">
        <v>29508</v>
      </c>
      <c r="J23" s="153">
        <v>0</v>
      </c>
      <c r="K23" s="153">
        <v>0</v>
      </c>
      <c r="L23" s="153">
        <v>0</v>
      </c>
      <c r="M23" s="153">
        <v>24146</v>
      </c>
      <c r="N23" s="153">
        <v>24146</v>
      </c>
      <c r="P23" s="153">
        <v>26594</v>
      </c>
      <c r="Q23" s="153">
        <v>26594</v>
      </c>
      <c r="R23" s="153">
        <v>20659</v>
      </c>
      <c r="S23" s="153">
        <v>20659</v>
      </c>
      <c r="T23" s="153">
        <v>42583</v>
      </c>
      <c r="U23" s="153">
        <v>42583</v>
      </c>
      <c r="W23" s="153">
        <v>44913</v>
      </c>
      <c r="X23" s="22">
        <v>46887</v>
      </c>
      <c r="Y23" s="22">
        <v>46720</v>
      </c>
      <c r="Z23" s="22">
        <v>47275</v>
      </c>
      <c r="AB23" s="153">
        <v>47952</v>
      </c>
      <c r="AC23" s="22">
        <v>49145</v>
      </c>
      <c r="AD23" s="22">
        <v>50734</v>
      </c>
      <c r="AE23" s="22">
        <v>36747</v>
      </c>
      <c r="AF23" s="14"/>
      <c r="AG23" s="153">
        <v>36959</v>
      </c>
      <c r="AH23" s="22">
        <v>37030</v>
      </c>
      <c r="AI23" s="22">
        <v>36065</v>
      </c>
      <c r="AJ23" s="22">
        <v>37204</v>
      </c>
      <c r="AK23" s="14"/>
      <c r="AL23" s="153">
        <v>37366</v>
      </c>
      <c r="AM23" s="22">
        <v>0</v>
      </c>
      <c r="AN23" s="22">
        <v>0</v>
      </c>
      <c r="AO23" s="22">
        <v>0</v>
      </c>
      <c r="AQ23" s="153">
        <v>0</v>
      </c>
      <c r="AR23" s="22">
        <v>0</v>
      </c>
      <c r="AS23" s="22">
        <v>0</v>
      </c>
      <c r="AT23" s="22">
        <v>0</v>
      </c>
      <c r="AU23" s="14"/>
      <c r="AV23" s="153">
        <v>0</v>
      </c>
      <c r="AW23" s="22">
        <v>0</v>
      </c>
      <c r="AX23" s="22">
        <v>0</v>
      </c>
      <c r="AY23" s="22">
        <v>0</v>
      </c>
      <c r="AZ23" s="14"/>
      <c r="BA23" s="153">
        <v>0</v>
      </c>
      <c r="BB23" s="153">
        <v>0</v>
      </c>
      <c r="BC23" s="153">
        <v>0</v>
      </c>
      <c r="BD23" s="153">
        <v>0</v>
      </c>
    </row>
    <row r="24" spans="2:56" ht="15.75" customHeight="1">
      <c r="B24" s="15" t="s">
        <v>251</v>
      </c>
      <c r="C24" s="153"/>
      <c r="D24" s="15"/>
      <c r="E24" s="153"/>
      <c r="F24" s="153"/>
      <c r="G24" s="153"/>
      <c r="H24" s="153"/>
      <c r="J24" s="153"/>
      <c r="K24" s="153"/>
      <c r="L24" s="153"/>
      <c r="M24" s="153"/>
      <c r="N24" s="153"/>
      <c r="P24" s="153"/>
      <c r="Q24" s="153"/>
      <c r="R24" s="153"/>
      <c r="S24" s="153"/>
      <c r="T24" s="153"/>
      <c r="U24" s="153"/>
      <c r="W24" s="153"/>
      <c r="X24" s="22"/>
      <c r="Y24" s="22"/>
      <c r="Z24" s="22"/>
      <c r="AB24" s="153"/>
      <c r="AC24" s="22"/>
      <c r="AD24" s="22"/>
      <c r="AE24" s="22"/>
      <c r="AF24" s="14"/>
      <c r="AG24" s="153">
        <v>12421</v>
      </c>
      <c r="AH24" s="22">
        <v>13017</v>
      </c>
      <c r="AI24" s="22">
        <v>13296</v>
      </c>
      <c r="AJ24" s="22">
        <v>12817</v>
      </c>
      <c r="AK24" s="14"/>
      <c r="AL24" s="153">
        <v>11209</v>
      </c>
      <c r="AM24" s="22">
        <v>10661</v>
      </c>
      <c r="AN24" s="22">
        <v>10461</v>
      </c>
      <c r="AO24" s="22">
        <v>8777</v>
      </c>
      <c r="AQ24" s="153">
        <v>8350</v>
      </c>
      <c r="AR24" s="22">
        <v>7824</v>
      </c>
      <c r="AS24" s="22">
        <v>7253</v>
      </c>
      <c r="AT24" s="22">
        <v>6723</v>
      </c>
      <c r="AU24" s="14"/>
      <c r="AV24" s="153">
        <v>8046</v>
      </c>
      <c r="AW24" s="22">
        <v>8025</v>
      </c>
      <c r="AX24" s="22">
        <v>7676</v>
      </c>
      <c r="AY24" s="22">
        <v>7021</v>
      </c>
      <c r="AZ24" s="14"/>
      <c r="BA24" s="153">
        <v>6542</v>
      </c>
      <c r="BB24" s="153">
        <v>5791</v>
      </c>
      <c r="BC24" s="153">
        <v>5402</v>
      </c>
      <c r="BD24" s="153">
        <v>4970</v>
      </c>
    </row>
    <row r="25" spans="2:56" ht="15.75" customHeight="1">
      <c r="B25" s="15" t="s">
        <v>37</v>
      </c>
      <c r="C25" s="22">
        <v>5116</v>
      </c>
      <c r="D25" s="15"/>
      <c r="E25" s="22">
        <v>7515</v>
      </c>
      <c r="F25" s="22">
        <v>10609</v>
      </c>
      <c r="G25" s="22">
        <v>10728</v>
      </c>
      <c r="H25" s="22">
        <v>8788</v>
      </c>
      <c r="J25" s="22">
        <v>8295</v>
      </c>
      <c r="K25" s="22">
        <v>7849</v>
      </c>
      <c r="L25" s="22">
        <v>7403</v>
      </c>
      <c r="M25" s="22">
        <v>8489</v>
      </c>
      <c r="N25" s="22">
        <v>8489</v>
      </c>
      <c r="P25" s="22">
        <v>7842</v>
      </c>
      <c r="Q25" s="22">
        <v>7196</v>
      </c>
      <c r="R25" s="22">
        <v>6565</v>
      </c>
      <c r="S25" s="22">
        <v>6565</v>
      </c>
      <c r="T25" s="22">
        <v>5917</v>
      </c>
      <c r="U25" s="22">
        <v>5974</v>
      </c>
      <c r="W25" s="22">
        <v>5404</v>
      </c>
      <c r="X25" s="22">
        <v>5014</v>
      </c>
      <c r="Y25" s="22">
        <v>4991</v>
      </c>
      <c r="Z25" s="22">
        <v>3329</v>
      </c>
      <c r="AB25" s="22">
        <v>2680</v>
      </c>
      <c r="AC25" s="22">
        <v>2032</v>
      </c>
      <c r="AD25" s="22">
        <v>1388</v>
      </c>
      <c r="AE25" s="22">
        <v>119633</v>
      </c>
      <c r="AF25" s="14"/>
      <c r="AG25" s="22">
        <v>116349</v>
      </c>
      <c r="AH25" s="22">
        <v>113113</v>
      </c>
      <c r="AI25" s="22">
        <v>109880</v>
      </c>
      <c r="AJ25" s="22">
        <v>107005</v>
      </c>
      <c r="AK25" s="14"/>
      <c r="AL25" s="22">
        <v>104008</v>
      </c>
      <c r="AM25" s="22">
        <v>100344</v>
      </c>
      <c r="AN25" s="22">
        <v>95330</v>
      </c>
      <c r="AO25" s="22">
        <v>91296</v>
      </c>
      <c r="AQ25" s="22">
        <v>87459</v>
      </c>
      <c r="AR25" s="22">
        <v>83658</v>
      </c>
      <c r="AS25" s="22">
        <v>79839</v>
      </c>
      <c r="AT25" s="22">
        <v>76021</v>
      </c>
      <c r="AU25" s="14"/>
      <c r="AV25" s="22">
        <v>72219</v>
      </c>
      <c r="AW25" s="22">
        <v>68418</v>
      </c>
      <c r="AX25" s="22">
        <v>0</v>
      </c>
      <c r="AY25" s="22">
        <v>0</v>
      </c>
      <c r="AZ25" s="14"/>
      <c r="BA25" s="293">
        <v>0</v>
      </c>
      <c r="BB25" s="293">
        <v>0</v>
      </c>
      <c r="BC25" s="293">
        <v>0</v>
      </c>
      <c r="BD25" s="293">
        <v>0</v>
      </c>
    </row>
    <row r="26" spans="2:56" ht="15.75" customHeight="1">
      <c r="B26" s="15" t="s">
        <v>53</v>
      </c>
      <c r="C26" s="22">
        <v>12065</v>
      </c>
      <c r="D26" s="15"/>
      <c r="E26" s="22">
        <v>13531</v>
      </c>
      <c r="F26" s="22">
        <v>75787</v>
      </c>
      <c r="G26" s="22">
        <v>102042</v>
      </c>
      <c r="H26" s="22">
        <v>19238</v>
      </c>
      <c r="J26" s="22">
        <v>80565</v>
      </c>
      <c r="K26" s="22">
        <v>212732</v>
      </c>
      <c r="L26" s="22">
        <v>95596</v>
      </c>
      <c r="M26" s="22">
        <v>82850</v>
      </c>
      <c r="N26" s="22">
        <v>82850</v>
      </c>
      <c r="P26" s="22">
        <v>83148</v>
      </c>
      <c r="Q26" s="22">
        <v>83621</v>
      </c>
      <c r="R26" s="22">
        <v>86502</v>
      </c>
      <c r="S26" s="22">
        <v>86502</v>
      </c>
      <c r="T26" s="22">
        <v>25551</v>
      </c>
      <c r="U26" s="22">
        <v>25901</v>
      </c>
      <c r="W26" s="22">
        <v>27243</v>
      </c>
      <c r="X26" s="22">
        <v>26267</v>
      </c>
      <c r="Y26" s="22">
        <v>10572</v>
      </c>
      <c r="Z26" s="22">
        <v>10723</v>
      </c>
      <c r="AB26" s="22">
        <v>10516</v>
      </c>
      <c r="AC26" s="22">
        <v>2446</v>
      </c>
      <c r="AD26" s="22">
        <v>2224</v>
      </c>
      <c r="AE26" s="22">
        <v>2022</v>
      </c>
      <c r="AF26" s="14"/>
      <c r="AG26" s="22">
        <v>1849</v>
      </c>
      <c r="AH26" s="22">
        <v>1615</v>
      </c>
      <c r="AI26" s="22">
        <v>1449</v>
      </c>
      <c r="AJ26" s="22">
        <v>1452</v>
      </c>
      <c r="AK26" s="14"/>
      <c r="AL26" s="22">
        <v>1222</v>
      </c>
      <c r="AM26" s="22">
        <v>1074</v>
      </c>
      <c r="AN26" s="22">
        <v>954</v>
      </c>
      <c r="AO26" s="22">
        <v>856</v>
      </c>
      <c r="AQ26" s="22">
        <v>823</v>
      </c>
      <c r="AR26" s="22">
        <v>789</v>
      </c>
      <c r="AS26" s="22">
        <v>1003</v>
      </c>
      <c r="AT26" s="22">
        <v>1806</v>
      </c>
      <c r="AU26" s="14"/>
      <c r="AV26" s="22">
        <v>1725</v>
      </c>
      <c r="AW26" s="22">
        <v>1647</v>
      </c>
      <c r="AX26" s="22">
        <v>1569</v>
      </c>
      <c r="AY26" s="22">
        <v>1491</v>
      </c>
      <c r="AZ26" s="14"/>
      <c r="BA26" s="22">
        <v>1413</v>
      </c>
      <c r="BB26" s="22">
        <v>1574</v>
      </c>
      <c r="BC26" s="22">
        <v>2120</v>
      </c>
      <c r="BD26" s="22">
        <v>2546</v>
      </c>
    </row>
    <row r="27" spans="2:56" ht="15.75" customHeight="1">
      <c r="B27" s="15" t="s">
        <v>38</v>
      </c>
      <c r="C27" s="22">
        <v>2040643</v>
      </c>
      <c r="D27" s="15"/>
      <c r="E27" s="22">
        <v>2208481</v>
      </c>
      <c r="F27" s="22">
        <v>2208796</v>
      </c>
      <c r="G27" s="22">
        <v>2250911</v>
      </c>
      <c r="H27" s="22">
        <v>2122462</v>
      </c>
      <c r="J27" s="22">
        <v>2249142</v>
      </c>
      <c r="K27" s="22">
        <v>2247758</v>
      </c>
      <c r="L27" s="22">
        <v>2202024</v>
      </c>
      <c r="M27" s="22">
        <v>1781868</v>
      </c>
      <c r="N27" s="22">
        <v>2010817</v>
      </c>
      <c r="P27" s="22">
        <v>1767538</v>
      </c>
      <c r="Q27" s="22">
        <v>1682706</v>
      </c>
      <c r="R27" s="22">
        <v>1682704</v>
      </c>
      <c r="S27" s="22">
        <v>1917370</v>
      </c>
      <c r="T27" s="22">
        <v>1867447</v>
      </c>
      <c r="U27" s="22">
        <f>1867447+219454</f>
        <v>2086901</v>
      </c>
      <c r="W27" s="22">
        <v>1818947</v>
      </c>
      <c r="X27" s="22">
        <v>1799146</v>
      </c>
      <c r="Y27" s="22">
        <v>1908505</v>
      </c>
      <c r="Z27" s="22">
        <v>2083575</v>
      </c>
      <c r="AB27" s="22">
        <v>2093232</v>
      </c>
      <c r="AC27" s="22">
        <v>2100841</v>
      </c>
      <c r="AD27" s="22">
        <v>2116300</v>
      </c>
      <c r="AE27" s="22">
        <v>2105213</v>
      </c>
      <c r="AF27" s="14"/>
      <c r="AG27" s="22">
        <v>2119416</v>
      </c>
      <c r="AH27" s="22">
        <v>2128858</v>
      </c>
      <c r="AI27" s="22">
        <v>2136943</v>
      </c>
      <c r="AJ27" s="22">
        <v>2108346</v>
      </c>
      <c r="AK27" s="14"/>
      <c r="AL27" s="22">
        <v>2119829</v>
      </c>
      <c r="AM27" s="22">
        <v>2118279</v>
      </c>
      <c r="AN27" s="22">
        <v>2121714</v>
      </c>
      <c r="AO27" s="22">
        <v>2108885</v>
      </c>
      <c r="AQ27" s="22">
        <v>2126889</v>
      </c>
      <c r="AR27" s="22">
        <v>2142983</v>
      </c>
      <c r="AS27" s="22">
        <v>2141411</v>
      </c>
      <c r="AT27" s="22">
        <v>2123104</v>
      </c>
      <c r="AU27" s="14"/>
      <c r="AV27" s="22">
        <v>2067558</v>
      </c>
      <c r="AW27" s="22">
        <v>2079014</v>
      </c>
      <c r="AX27" s="22">
        <v>2082525</v>
      </c>
      <c r="AY27" s="22">
        <v>2020317</v>
      </c>
      <c r="AZ27" s="14"/>
      <c r="BA27" s="22">
        <v>2060158</v>
      </c>
      <c r="BB27" s="22">
        <v>2008786</v>
      </c>
      <c r="BC27" s="22">
        <v>1989775</v>
      </c>
      <c r="BD27" s="22">
        <v>1958064</v>
      </c>
    </row>
    <row r="28" spans="2:56" ht="15.75" customHeight="1">
      <c r="B28" s="15" t="s">
        <v>135</v>
      </c>
      <c r="C28" s="153">
        <v>0</v>
      </c>
      <c r="D28" s="15"/>
      <c r="E28" s="153">
        <v>0</v>
      </c>
      <c r="F28" s="153">
        <v>0</v>
      </c>
      <c r="G28" s="153">
        <v>0</v>
      </c>
      <c r="H28" s="153">
        <v>0</v>
      </c>
      <c r="J28" s="153">
        <v>0</v>
      </c>
      <c r="K28" s="153">
        <v>0</v>
      </c>
      <c r="L28" s="153">
        <v>0</v>
      </c>
      <c r="M28" s="153">
        <v>0</v>
      </c>
      <c r="N28" s="153">
        <v>0</v>
      </c>
      <c r="P28" s="153">
        <v>774</v>
      </c>
      <c r="Q28" s="153">
        <v>0</v>
      </c>
      <c r="R28" s="153">
        <v>0</v>
      </c>
      <c r="S28" s="153">
        <v>0</v>
      </c>
      <c r="T28" s="153">
        <v>0</v>
      </c>
      <c r="U28" s="153">
        <v>0</v>
      </c>
      <c r="W28" s="153">
        <v>0</v>
      </c>
      <c r="X28" s="153">
        <v>0</v>
      </c>
      <c r="Y28" s="153">
        <v>0</v>
      </c>
      <c r="Z28" s="153">
        <v>0</v>
      </c>
      <c r="AB28" s="153">
        <v>0</v>
      </c>
      <c r="AC28" s="153">
        <v>0</v>
      </c>
      <c r="AD28" s="153">
        <v>0</v>
      </c>
      <c r="AE28" s="153">
        <v>0</v>
      </c>
      <c r="AF28" s="14"/>
      <c r="AG28" s="153">
        <v>0</v>
      </c>
      <c r="AH28" s="153">
        <v>0</v>
      </c>
      <c r="AI28" s="153">
        <v>0</v>
      </c>
      <c r="AJ28" s="153">
        <v>0</v>
      </c>
      <c r="AK28" s="14"/>
      <c r="AL28" s="153">
        <v>0</v>
      </c>
      <c r="AM28" s="153">
        <v>0</v>
      </c>
      <c r="AN28" s="153">
        <v>0</v>
      </c>
      <c r="AO28" s="153">
        <v>0</v>
      </c>
      <c r="AQ28" s="153">
        <v>0</v>
      </c>
      <c r="AR28" s="153">
        <v>0</v>
      </c>
      <c r="AS28" s="153"/>
      <c r="AT28" s="153">
        <v>0</v>
      </c>
      <c r="AU28" s="14"/>
      <c r="AV28" s="153"/>
      <c r="AW28" s="153">
        <v>0</v>
      </c>
      <c r="AX28" s="153">
        <v>0</v>
      </c>
      <c r="AY28" s="153">
        <v>0</v>
      </c>
      <c r="AZ28" s="14"/>
      <c r="BA28" s="153">
        <v>0</v>
      </c>
      <c r="BB28" s="153"/>
      <c r="BC28" s="153">
        <v>0</v>
      </c>
      <c r="BD28" s="153">
        <v>0</v>
      </c>
    </row>
    <row r="29" spans="2:56" ht="15.75" customHeight="1">
      <c r="B29" s="15" t="s">
        <v>131</v>
      </c>
      <c r="C29" s="153">
        <v>0</v>
      </c>
      <c r="D29" s="15"/>
      <c r="E29" s="153">
        <v>0</v>
      </c>
      <c r="F29" s="153">
        <v>0</v>
      </c>
      <c r="G29" s="153">
        <v>0</v>
      </c>
      <c r="H29" s="153">
        <v>0</v>
      </c>
      <c r="J29" s="153">
        <v>0</v>
      </c>
      <c r="K29" s="153">
        <v>0</v>
      </c>
      <c r="L29" s="153">
        <v>0</v>
      </c>
      <c r="M29" s="153">
        <v>0</v>
      </c>
      <c r="N29" s="153">
        <v>0</v>
      </c>
      <c r="P29" s="153">
        <v>0</v>
      </c>
      <c r="Q29" s="153">
        <v>0</v>
      </c>
      <c r="R29" s="153">
        <v>0</v>
      </c>
      <c r="S29" s="153">
        <v>0</v>
      </c>
      <c r="T29" s="153">
        <v>0</v>
      </c>
      <c r="U29" s="153">
        <v>0</v>
      </c>
      <c r="W29" s="153">
        <v>0</v>
      </c>
      <c r="X29" s="153">
        <v>0</v>
      </c>
      <c r="Y29" s="153">
        <v>0</v>
      </c>
      <c r="Z29" s="153">
        <v>0</v>
      </c>
      <c r="AB29" s="153">
        <v>0</v>
      </c>
      <c r="AC29" s="153">
        <v>0</v>
      </c>
      <c r="AD29" s="153">
        <v>0</v>
      </c>
      <c r="AE29" s="153">
        <v>0</v>
      </c>
      <c r="AF29" s="14"/>
      <c r="AG29" s="153">
        <v>0</v>
      </c>
      <c r="AH29" s="153">
        <v>0</v>
      </c>
      <c r="AI29" s="153">
        <v>0</v>
      </c>
      <c r="AJ29" s="153">
        <v>0</v>
      </c>
      <c r="AK29" s="14"/>
      <c r="AL29" s="153">
        <v>0</v>
      </c>
      <c r="AM29" s="153">
        <v>0</v>
      </c>
      <c r="AN29" s="153">
        <v>0</v>
      </c>
      <c r="AO29" s="153">
        <v>0</v>
      </c>
      <c r="AQ29" s="153">
        <v>0</v>
      </c>
      <c r="AR29" s="153">
        <v>0</v>
      </c>
      <c r="AS29" s="153"/>
      <c r="AT29" s="153">
        <v>0</v>
      </c>
      <c r="AU29" s="14"/>
      <c r="AV29" s="153">
        <v>0</v>
      </c>
      <c r="AW29" s="153">
        <v>0</v>
      </c>
      <c r="AX29" s="153">
        <v>0</v>
      </c>
      <c r="AY29" s="153">
        <v>0</v>
      </c>
      <c r="AZ29" s="14"/>
      <c r="BA29" s="153">
        <v>0</v>
      </c>
      <c r="BB29" s="153">
        <v>0</v>
      </c>
      <c r="BC29" s="153">
        <v>0</v>
      </c>
      <c r="BD29" s="153">
        <v>0</v>
      </c>
    </row>
    <row r="30" spans="2:56" ht="15.75" customHeight="1">
      <c r="B30" s="15" t="s">
        <v>136</v>
      </c>
      <c r="C30" s="153">
        <v>0</v>
      </c>
      <c r="D30" s="15"/>
      <c r="E30" s="153">
        <v>0</v>
      </c>
      <c r="F30" s="153">
        <v>0</v>
      </c>
      <c r="G30" s="153">
        <v>0</v>
      </c>
      <c r="H30" s="153">
        <v>0</v>
      </c>
      <c r="J30" s="153">
        <v>0</v>
      </c>
      <c r="K30" s="153">
        <v>0</v>
      </c>
      <c r="L30" s="153">
        <v>0</v>
      </c>
      <c r="M30" s="153">
        <v>0</v>
      </c>
      <c r="N30" s="153">
        <v>0</v>
      </c>
      <c r="P30" s="153">
        <v>0</v>
      </c>
      <c r="Q30" s="153">
        <v>0</v>
      </c>
      <c r="R30" s="153">
        <v>0</v>
      </c>
      <c r="S30" s="153">
        <v>0</v>
      </c>
      <c r="T30" s="153">
        <v>0</v>
      </c>
      <c r="U30" s="153">
        <v>0</v>
      </c>
      <c r="W30" s="153">
        <v>0</v>
      </c>
      <c r="X30" s="153">
        <v>0</v>
      </c>
      <c r="Y30" s="153">
        <v>0</v>
      </c>
      <c r="Z30" s="153">
        <v>0</v>
      </c>
      <c r="AB30" s="153">
        <v>0</v>
      </c>
      <c r="AC30" s="153">
        <v>0</v>
      </c>
      <c r="AD30" s="153">
        <v>573</v>
      </c>
      <c r="AE30" s="153">
        <v>0</v>
      </c>
      <c r="AF30" s="14"/>
      <c r="AG30" s="153">
        <v>0</v>
      </c>
      <c r="AH30" s="153">
        <v>0</v>
      </c>
      <c r="AI30" s="153">
        <v>0</v>
      </c>
      <c r="AJ30" s="153">
        <v>0</v>
      </c>
      <c r="AK30" s="14"/>
      <c r="AL30" s="153">
        <v>0</v>
      </c>
      <c r="AM30" s="153">
        <v>0</v>
      </c>
      <c r="AN30" s="153">
        <v>0</v>
      </c>
      <c r="AO30" s="153">
        <v>0</v>
      </c>
      <c r="AQ30" s="153">
        <v>0</v>
      </c>
      <c r="AR30" s="153">
        <v>0</v>
      </c>
      <c r="AS30" s="153"/>
      <c r="AT30" s="153">
        <v>0</v>
      </c>
      <c r="AU30" s="14"/>
      <c r="AV30" s="153">
        <v>0</v>
      </c>
      <c r="AW30" s="153">
        <v>0</v>
      </c>
      <c r="AX30" s="153">
        <v>0</v>
      </c>
      <c r="AY30" s="153">
        <v>0</v>
      </c>
      <c r="AZ30" s="14"/>
      <c r="BA30" s="153">
        <v>53</v>
      </c>
      <c r="BB30" s="153">
        <v>52</v>
      </c>
      <c r="BC30" s="153">
        <v>6</v>
      </c>
      <c r="BD30" s="153">
        <v>0</v>
      </c>
    </row>
    <row r="31" spans="2:56">
      <c r="B31" s="12" t="s">
        <v>157</v>
      </c>
      <c r="C31" s="153">
        <v>0</v>
      </c>
      <c r="D31" s="15"/>
      <c r="E31" s="153">
        <v>0</v>
      </c>
      <c r="F31" s="153">
        <v>0</v>
      </c>
      <c r="G31" s="153">
        <v>0</v>
      </c>
      <c r="H31" s="153">
        <v>0</v>
      </c>
      <c r="J31" s="153">
        <v>0</v>
      </c>
      <c r="K31" s="153">
        <v>0</v>
      </c>
      <c r="L31" s="153">
        <v>0</v>
      </c>
      <c r="M31" s="153">
        <v>0</v>
      </c>
      <c r="N31" s="153">
        <v>0</v>
      </c>
      <c r="P31" s="153">
        <v>0</v>
      </c>
      <c r="Q31" s="153">
        <v>0</v>
      </c>
      <c r="R31" s="153">
        <v>0</v>
      </c>
      <c r="S31" s="153">
        <v>0</v>
      </c>
      <c r="T31" s="153">
        <v>0</v>
      </c>
      <c r="U31" s="153">
        <v>0</v>
      </c>
      <c r="W31" s="153">
        <v>0</v>
      </c>
      <c r="X31" s="153">
        <v>0</v>
      </c>
      <c r="Y31" s="153">
        <v>0</v>
      </c>
      <c r="Z31" s="153">
        <v>0</v>
      </c>
      <c r="AB31" s="153">
        <v>0</v>
      </c>
      <c r="AC31" s="153">
        <v>0</v>
      </c>
      <c r="AD31" s="153">
        <v>0</v>
      </c>
      <c r="AE31" s="153">
        <v>0</v>
      </c>
      <c r="AF31" s="14"/>
      <c r="AG31" s="153">
        <v>0</v>
      </c>
      <c r="AH31" s="153">
        <v>97</v>
      </c>
      <c r="AI31" s="153">
        <v>7025</v>
      </c>
      <c r="AJ31" s="153">
        <v>4666</v>
      </c>
      <c r="AK31" s="14"/>
      <c r="AL31" s="153">
        <v>4837</v>
      </c>
      <c r="AM31" s="153">
        <v>5000</v>
      </c>
      <c r="AN31" s="153">
        <v>5164</v>
      </c>
      <c r="AO31" s="153">
        <v>6694</v>
      </c>
      <c r="AQ31" s="153">
        <v>6837</v>
      </c>
      <c r="AR31" s="153">
        <v>6981</v>
      </c>
      <c r="AS31" s="153">
        <v>7052</v>
      </c>
      <c r="AT31" s="153">
        <v>7134</v>
      </c>
      <c r="AU31" s="14"/>
      <c r="AV31" s="153">
        <v>7205</v>
      </c>
      <c r="AW31" s="153">
        <v>9320</v>
      </c>
      <c r="AX31" s="153">
        <v>11477</v>
      </c>
      <c r="AY31" s="153">
        <v>1548</v>
      </c>
      <c r="AZ31" s="14"/>
      <c r="BA31" s="153">
        <v>1705</v>
      </c>
      <c r="BB31" s="153">
        <v>5207</v>
      </c>
      <c r="BC31" s="153">
        <v>5426</v>
      </c>
      <c r="BD31" s="153">
        <v>2353</v>
      </c>
    </row>
    <row r="32" spans="2:56" ht="7.5" customHeight="1">
      <c r="B32" s="15"/>
      <c r="C32" s="153"/>
      <c r="D32" s="15"/>
      <c r="E32" s="153"/>
      <c r="F32" s="153"/>
      <c r="G32" s="153"/>
      <c r="H32" s="153"/>
      <c r="J32" s="153"/>
      <c r="K32" s="153"/>
      <c r="L32" s="153"/>
      <c r="M32" s="153"/>
      <c r="N32" s="153"/>
      <c r="P32" s="153"/>
      <c r="Q32" s="153"/>
      <c r="R32" s="153"/>
      <c r="S32" s="153"/>
      <c r="T32" s="153"/>
      <c r="U32" s="153"/>
      <c r="W32" s="153"/>
      <c r="AB32" s="153"/>
      <c r="AF32" s="14"/>
      <c r="AG32" s="153"/>
      <c r="AK32" s="14"/>
      <c r="AL32" s="153"/>
      <c r="AQ32" s="153"/>
      <c r="AU32" s="14"/>
      <c r="AZ32" s="14"/>
      <c r="BA32" s="153"/>
      <c r="BB32" s="153"/>
    </row>
    <row r="33" spans="1:56" ht="13">
      <c r="B33" s="24" t="s">
        <v>54</v>
      </c>
      <c r="C33" s="25">
        <f>SUM(C21:C31)</f>
        <v>14002423</v>
      </c>
      <c r="D33" s="24"/>
      <c r="E33" s="25">
        <f>SUM(E21:E31)</f>
        <v>14236992</v>
      </c>
      <c r="F33" s="25">
        <f>SUM(F21:F31)</f>
        <v>14427829</v>
      </c>
      <c r="G33" s="25">
        <f>SUM(G21:G31)</f>
        <v>14614447</v>
      </c>
      <c r="H33" s="25">
        <f>SUM(H21:H31)</f>
        <v>14799931</v>
      </c>
      <c r="I33" s="26"/>
      <c r="J33" s="25">
        <f>SUM(J21:J31)</f>
        <v>14190894</v>
      </c>
      <c r="K33" s="25">
        <f>SUM(K21:K31)</f>
        <v>15537734</v>
      </c>
      <c r="L33" s="25">
        <f>SUM(L21:L31)</f>
        <v>15666033</v>
      </c>
      <c r="M33" s="25">
        <f>SUM(M21:M31)</f>
        <v>15504949</v>
      </c>
      <c r="N33" s="25">
        <f>SUM(N21:N31)</f>
        <v>15758101</v>
      </c>
      <c r="O33" s="11" t="s">
        <v>154</v>
      </c>
      <c r="P33" s="25">
        <f t="shared" ref="P33:U33" si="1">SUM(P21:P31)</f>
        <v>15527781</v>
      </c>
      <c r="Q33" s="25">
        <f t="shared" si="1"/>
        <v>15453300</v>
      </c>
      <c r="R33" s="25">
        <f t="shared" si="1"/>
        <v>15289549</v>
      </c>
      <c r="S33" s="25">
        <f t="shared" si="1"/>
        <v>15521479</v>
      </c>
      <c r="T33" s="25">
        <f t="shared" si="1"/>
        <v>16460927</v>
      </c>
      <c r="U33" s="25">
        <f t="shared" si="1"/>
        <v>16543176</v>
      </c>
      <c r="W33" s="25">
        <f>SUM(W21:W31)</f>
        <v>16600768</v>
      </c>
      <c r="X33" s="25">
        <f>SUM(X21:X31)</f>
        <v>16878519</v>
      </c>
      <c r="Y33" s="25">
        <f>SUM(Y21:Y31)</f>
        <v>16721683</v>
      </c>
      <c r="Z33" s="25">
        <f>SUM(Z21:Z31)</f>
        <v>16843998</v>
      </c>
      <c r="AB33" s="25">
        <f>SUM(AB21:AB31)</f>
        <v>16772625</v>
      </c>
      <c r="AC33" s="25">
        <f>SUM(AC21:AC31)</f>
        <v>17063540</v>
      </c>
      <c r="AD33" s="25">
        <f>SUM(AD21:AD31)</f>
        <v>17292003</v>
      </c>
      <c r="AE33" s="25">
        <f>SUM(AE21:AE31)</f>
        <v>17591399</v>
      </c>
      <c r="AF33" s="14"/>
      <c r="AG33" s="25">
        <f>SUM(AG21:AG31)</f>
        <v>17285170</v>
      </c>
      <c r="AH33" s="25">
        <f>SUM(AH21:AH31)</f>
        <v>17303235</v>
      </c>
      <c r="AI33" s="25">
        <f>SUM(AI21:AI31)</f>
        <v>17998483</v>
      </c>
      <c r="AJ33" s="25">
        <f>SUM(AJ21:AJ31)</f>
        <v>17709473</v>
      </c>
      <c r="AK33" s="14"/>
      <c r="AL33" s="25">
        <f>SUM(AL21:AL31)</f>
        <v>17936640</v>
      </c>
      <c r="AM33" s="25">
        <f>SUM(AM21:AM31)</f>
        <v>17541532</v>
      </c>
      <c r="AN33" s="25">
        <f>SUM(AN21:AN31)</f>
        <v>17760374</v>
      </c>
      <c r="AO33" s="25">
        <f>SUM(AO21:AO31)</f>
        <v>17183197</v>
      </c>
      <c r="AQ33" s="25">
        <f>SUM(AQ21:AQ31)</f>
        <v>17412608</v>
      </c>
      <c r="AR33" s="25">
        <f>SUM(AR21:AR31)</f>
        <v>17757525</v>
      </c>
      <c r="AS33" s="25">
        <f>SUM(AS21:AS31)</f>
        <v>17883289</v>
      </c>
      <c r="AT33" s="25">
        <f>SUM(AT21:AT31)</f>
        <v>18526819</v>
      </c>
      <c r="AU33" s="14"/>
      <c r="AV33" s="25">
        <f>SUM(AV21:AV31)</f>
        <v>18339112</v>
      </c>
      <c r="AW33" s="25">
        <f>SUM(AW21:AW31)</f>
        <v>18819154</v>
      </c>
      <c r="AX33" s="25">
        <v>19382159</v>
      </c>
      <c r="AY33" s="25">
        <v>20080315</v>
      </c>
      <c r="AZ33" s="14"/>
      <c r="BA33" s="25">
        <v>20512027</v>
      </c>
      <c r="BB33" s="25">
        <v>17415599</v>
      </c>
      <c r="BC33" s="25">
        <v>17014772</v>
      </c>
      <c r="BD33" s="25">
        <v>16383945</v>
      </c>
    </row>
    <row r="34" spans="1:56" ht="10.5" customHeight="1">
      <c r="B34" s="15"/>
      <c r="C34" s="22"/>
      <c r="D34" s="15"/>
      <c r="E34" s="22"/>
      <c r="F34" s="22"/>
      <c r="G34" s="22"/>
      <c r="H34" s="22"/>
      <c r="J34" s="22"/>
      <c r="K34" s="22"/>
      <c r="L34" s="22"/>
      <c r="M34" s="22"/>
      <c r="N34" s="22"/>
      <c r="P34" s="22"/>
      <c r="Q34" s="22"/>
      <c r="R34" s="22"/>
      <c r="S34" s="22"/>
      <c r="T34" s="22"/>
      <c r="U34" s="22"/>
      <c r="W34" s="22"/>
      <c r="AB34" s="22"/>
      <c r="AF34" s="14"/>
      <c r="AG34" s="22"/>
      <c r="AK34" s="14"/>
      <c r="AL34" s="22"/>
      <c r="AQ34" s="22"/>
      <c r="AU34" s="14"/>
      <c r="AZ34" s="14"/>
      <c r="BA34" s="22"/>
      <c r="BB34" s="22"/>
      <c r="BC34" s="22"/>
      <c r="BD34" s="22"/>
    </row>
    <row r="35" spans="1:56" ht="20.25" customHeight="1">
      <c r="B35" s="219" t="s">
        <v>55</v>
      </c>
      <c r="C35" s="220">
        <f>+C19+C33</f>
        <v>14342821</v>
      </c>
      <c r="D35" s="24"/>
      <c r="E35" s="220">
        <f>+E19+E33</f>
        <v>14854507</v>
      </c>
      <c r="F35" s="220">
        <f>+F19+F33</f>
        <v>14874524</v>
      </c>
      <c r="G35" s="220">
        <f>+G19+G33</f>
        <v>15324587</v>
      </c>
      <c r="H35" s="220">
        <f>+H19+H33</f>
        <v>15212436</v>
      </c>
      <c r="J35" s="220">
        <f>+J19+J33</f>
        <v>14952164</v>
      </c>
      <c r="K35" s="220">
        <f>+K19+K33</f>
        <v>15971524</v>
      </c>
      <c r="L35" s="220">
        <f>+L19+L33</f>
        <v>16466153</v>
      </c>
      <c r="M35" s="220">
        <f>+M19+M33</f>
        <v>16169425</v>
      </c>
      <c r="N35" s="220">
        <f>+N19+N33</f>
        <v>16327837</v>
      </c>
      <c r="P35" s="220">
        <f t="shared" ref="P35:U35" si="2">+P19+P33</f>
        <v>16210864</v>
      </c>
      <c r="Q35" s="220">
        <f t="shared" si="2"/>
        <v>16005705</v>
      </c>
      <c r="R35" s="220">
        <f t="shared" si="2"/>
        <v>15919947</v>
      </c>
      <c r="S35" s="220">
        <f t="shared" si="2"/>
        <v>16051630</v>
      </c>
      <c r="T35" s="220">
        <f t="shared" si="2"/>
        <v>16995199</v>
      </c>
      <c r="U35" s="220">
        <f t="shared" si="2"/>
        <v>17083471</v>
      </c>
      <c r="W35" s="220">
        <f>+W19+W33</f>
        <v>17289534</v>
      </c>
      <c r="X35" s="220">
        <f>+X19+X33</f>
        <v>17469084</v>
      </c>
      <c r="Y35" s="220">
        <f>+Y19+Y33</f>
        <v>17504261</v>
      </c>
      <c r="Z35" s="220">
        <f>+Z19+Z33</f>
        <v>17523550</v>
      </c>
      <c r="AB35" s="220">
        <f>+AB19+AB33</f>
        <v>17598033</v>
      </c>
      <c r="AC35" s="220">
        <f>+AC19+AC33</f>
        <v>17712442</v>
      </c>
      <c r="AD35" s="220">
        <f>+AD19+AD33</f>
        <v>17701476</v>
      </c>
      <c r="AE35" s="220">
        <f>+AE19+AE33</f>
        <v>17946404</v>
      </c>
      <c r="AF35" s="14"/>
      <c r="AG35" s="220">
        <f>+AG19+AG33</f>
        <v>17960990</v>
      </c>
      <c r="AH35" s="220">
        <f>+AH19+AH33</f>
        <v>17841047</v>
      </c>
      <c r="AI35" s="220">
        <f>+AI19+AI33</f>
        <v>18454416</v>
      </c>
      <c r="AJ35" s="220">
        <f>+AJ19+AJ33</f>
        <v>18160512</v>
      </c>
      <c r="AK35" s="14"/>
      <c r="AL35" s="220">
        <f>+AL19+AL33</f>
        <v>18898636</v>
      </c>
      <c r="AM35" s="220">
        <f>+AM19+AM33</f>
        <v>18483699</v>
      </c>
      <c r="AN35" s="220">
        <f>+AN19+AN33</f>
        <v>18650329</v>
      </c>
      <c r="AO35" s="220">
        <f>+AO19+AO33</f>
        <v>17791474</v>
      </c>
      <c r="AQ35" s="220">
        <f>+AQ19+AQ33</f>
        <v>18227370</v>
      </c>
      <c r="AR35" s="220">
        <f>+AR19+AR33</f>
        <v>18305094</v>
      </c>
      <c r="AS35" s="220">
        <f>+AS19+AS33</f>
        <v>18397007</v>
      </c>
      <c r="AT35" s="220">
        <f>+AT19+AT33</f>
        <v>18952092</v>
      </c>
      <c r="AU35" s="14"/>
      <c r="AV35" s="220">
        <f>+AV19+AV33</f>
        <v>19617186</v>
      </c>
      <c r="AW35" s="220">
        <f>+AW19+AW33</f>
        <v>19946286</v>
      </c>
      <c r="AX35" s="220">
        <v>20331169</v>
      </c>
      <c r="AY35" s="220">
        <v>20964835</v>
      </c>
      <c r="AZ35" s="14"/>
      <c r="BA35" s="220">
        <v>21467229</v>
      </c>
      <c r="BB35" s="220">
        <v>20961215</v>
      </c>
      <c r="BC35" s="220">
        <v>20509657</v>
      </c>
      <c r="BD35" s="220">
        <v>19610133</v>
      </c>
    </row>
    <row r="36" spans="1:56" ht="20.25" customHeight="1">
      <c r="B36" s="221" t="s">
        <v>48</v>
      </c>
      <c r="C36" s="222">
        <v>7443.7397175671958</v>
      </c>
      <c r="D36" s="223"/>
      <c r="E36" s="222">
        <v>7558.3146764903431</v>
      </c>
      <c r="F36" s="222">
        <v>7906.9759035504121</v>
      </c>
      <c r="G36" s="222">
        <v>7554.714367408108</v>
      </c>
      <c r="H36" s="222">
        <v>6358.4912600419648</v>
      </c>
      <c r="J36" s="222">
        <v>5804.2988296034619</v>
      </c>
      <c r="K36" s="222">
        <v>6178.2763596133236</v>
      </c>
      <c r="L36" s="222">
        <v>5274.3335874488293</v>
      </c>
      <c r="M36" s="222">
        <v>5134.0146119823339</v>
      </c>
      <c r="N36" s="222">
        <v>5184.3125986277064</v>
      </c>
      <c r="P36" s="222">
        <v>5363.6620510529883</v>
      </c>
      <c r="Q36" s="222">
        <v>5488.6425595391183</v>
      </c>
      <c r="R36" s="222">
        <v>5527.8553447108461</v>
      </c>
      <c r="S36" s="222">
        <v>5574</v>
      </c>
      <c r="T36" s="222">
        <f>+T35/3000.71</f>
        <v>5663.7259181993595</v>
      </c>
      <c r="U36" s="222">
        <v>5693.1429561670402</v>
      </c>
      <c r="W36" s="222">
        <v>6002.8101824847936</v>
      </c>
      <c r="X36" s="222">
        <v>5750</v>
      </c>
      <c r="Y36" s="222">
        <v>5960</v>
      </c>
      <c r="Z36" s="222">
        <f>+Z35/2984</f>
        <v>5872.5033512064347</v>
      </c>
      <c r="AB36" s="222">
        <f>+AB35/2780.47</f>
        <v>6329.1576603955455</v>
      </c>
      <c r="AC36" s="222">
        <f>+AC35/2930.8</f>
        <v>6043.5519312133201</v>
      </c>
      <c r="AD36" s="222">
        <f>+AD35/2972.18</f>
        <v>5955.7213896870317</v>
      </c>
      <c r="AE36" s="222">
        <f>+AE35/3249.75</f>
        <v>5522.3952611739369</v>
      </c>
      <c r="AF36" s="14"/>
      <c r="AG36" s="222">
        <f>+AG35/3174.79</f>
        <v>5657.3789132509555</v>
      </c>
      <c r="AH36" s="222">
        <f>+AH35/3205.67</f>
        <v>5565.4658776480419</v>
      </c>
      <c r="AI36" s="222">
        <f>+AI35/3462.01</f>
        <v>5330.5495940219698</v>
      </c>
      <c r="AJ36" s="222">
        <f>+AJ35/3277.14</f>
        <v>5541.5734451381386</v>
      </c>
      <c r="AK36" s="14"/>
      <c r="AL36" s="222">
        <f>+AL35/4064.81</f>
        <v>4649.328258885409</v>
      </c>
      <c r="AM36" s="222">
        <f>+AM35/3758.91</f>
        <v>4917.3028883373108</v>
      </c>
      <c r="AN36" s="222">
        <f>+AN35/3878.94</f>
        <v>4808.0993776650321</v>
      </c>
      <c r="AO36" s="222">
        <f>+AO35/3432.5</f>
        <v>5183.2407865986888</v>
      </c>
      <c r="AQ36" s="222">
        <f>+AQ35/3736.91</f>
        <v>4877.6582791664769</v>
      </c>
      <c r="AR36" s="222">
        <f>+AR35/3756.67</f>
        <v>4872.6915060412548</v>
      </c>
      <c r="AS36" s="222">
        <f>+AS35/3834.68</f>
        <v>4797.5338229004765</v>
      </c>
      <c r="AT36" s="222">
        <f>+AT35/3981.16</f>
        <v>4760.4446945111476</v>
      </c>
      <c r="AU36" s="14"/>
      <c r="AV36" s="222">
        <f>+AV35/3748.15</f>
        <v>5233.8316236009759</v>
      </c>
      <c r="AW36" s="222">
        <f>+AW35/4127.47</f>
        <v>4832.5695886341991</v>
      </c>
      <c r="AX36" s="222">
        <v>4486.0668524537359</v>
      </c>
      <c r="AY36" s="222">
        <v>4358.4123321275629</v>
      </c>
      <c r="AZ36" s="14"/>
      <c r="BA36" s="222">
        <v>4639.2860152962758</v>
      </c>
      <c r="BB36" s="222">
        <v>5001.1488137275492</v>
      </c>
      <c r="BC36" s="222">
        <v>5059.4157029523203</v>
      </c>
      <c r="BD36" s="222">
        <v>5130.7892361429076</v>
      </c>
    </row>
    <row r="37" spans="1:56" ht="3.75" customHeight="1">
      <c r="C37" s="10"/>
      <c r="J37" s="10"/>
      <c r="K37" s="10"/>
      <c r="L37" s="10"/>
      <c r="M37" s="10"/>
      <c r="N37" s="10"/>
      <c r="P37" s="10"/>
      <c r="Q37" s="10"/>
      <c r="R37" s="10"/>
      <c r="S37" s="10"/>
      <c r="T37" s="10"/>
      <c r="U37" s="10"/>
      <c r="W37" s="10"/>
      <c r="AB37" s="10"/>
      <c r="AF37" s="14"/>
      <c r="AG37" s="10"/>
      <c r="AK37" s="14"/>
      <c r="AL37" s="10"/>
      <c r="AQ37" s="10"/>
      <c r="AU37" s="14"/>
      <c r="AZ37" s="14"/>
      <c r="BA37" s="10"/>
      <c r="BB37" s="10"/>
    </row>
    <row r="38" spans="1:56" ht="16.5" customHeight="1">
      <c r="B38" s="12" t="s">
        <v>33</v>
      </c>
      <c r="C38" s="153">
        <v>403345</v>
      </c>
      <c r="D38" s="12"/>
      <c r="E38" s="22">
        <v>561428</v>
      </c>
      <c r="F38" s="22">
        <v>417165</v>
      </c>
      <c r="G38" s="22">
        <v>171377</v>
      </c>
      <c r="H38" s="153">
        <v>0</v>
      </c>
      <c r="J38" s="22">
        <v>103745</v>
      </c>
      <c r="K38" s="22">
        <v>116234</v>
      </c>
      <c r="L38" s="22">
        <v>123695</v>
      </c>
      <c r="M38" s="22">
        <v>123415</v>
      </c>
      <c r="N38" s="22">
        <v>123415</v>
      </c>
      <c r="P38" s="22">
        <v>5105</v>
      </c>
      <c r="Q38" s="22">
        <v>5500</v>
      </c>
      <c r="R38" s="22">
        <v>5891</v>
      </c>
      <c r="S38" s="22">
        <v>5891</v>
      </c>
      <c r="T38" s="22">
        <v>5920</v>
      </c>
      <c r="U38" s="22">
        <v>5920</v>
      </c>
      <c r="W38" s="22">
        <v>37394</v>
      </c>
      <c r="X38" s="22">
        <v>13044</v>
      </c>
      <c r="Y38" s="22">
        <v>4056</v>
      </c>
      <c r="Z38" s="22">
        <v>3728</v>
      </c>
      <c r="AB38" s="22">
        <v>2871</v>
      </c>
      <c r="AC38" s="22">
        <v>186376</v>
      </c>
      <c r="AD38" s="22">
        <v>243729</v>
      </c>
      <c r="AE38" s="22">
        <v>119106</v>
      </c>
      <c r="AF38" s="14"/>
      <c r="AG38" s="22">
        <v>140423</v>
      </c>
      <c r="AH38" s="22">
        <v>144537</v>
      </c>
      <c r="AI38" s="22">
        <v>270</v>
      </c>
      <c r="AJ38" s="22">
        <v>4252</v>
      </c>
      <c r="AK38" s="14"/>
      <c r="AL38" s="22">
        <v>10454</v>
      </c>
      <c r="AM38" s="22">
        <v>17778</v>
      </c>
      <c r="AN38" s="22">
        <v>3383</v>
      </c>
      <c r="AO38" s="22">
        <v>237</v>
      </c>
      <c r="AQ38" s="22">
        <v>5843</v>
      </c>
      <c r="AR38" s="22">
        <v>133821</v>
      </c>
      <c r="AS38" s="22">
        <v>53848</v>
      </c>
      <c r="AT38" s="22">
        <v>2556</v>
      </c>
      <c r="AU38" s="14"/>
      <c r="AV38" s="22">
        <v>32220</v>
      </c>
      <c r="AW38" s="22">
        <v>4060</v>
      </c>
      <c r="AX38" s="22">
        <v>8849</v>
      </c>
      <c r="AY38" s="22">
        <v>8920</v>
      </c>
      <c r="AZ38" s="14"/>
      <c r="BA38" s="22">
        <v>54332</v>
      </c>
      <c r="BB38" s="22">
        <v>49606</v>
      </c>
      <c r="BC38" s="22">
        <v>63127</v>
      </c>
      <c r="BD38" s="22">
        <v>26841</v>
      </c>
    </row>
    <row r="39" spans="1:56" ht="16.5" customHeight="1">
      <c r="B39" s="12" t="s">
        <v>252</v>
      </c>
      <c r="C39" s="153"/>
      <c r="D39" s="12"/>
      <c r="E39" s="22"/>
      <c r="F39" s="22"/>
      <c r="G39" s="22"/>
      <c r="H39" s="153"/>
      <c r="J39" s="22"/>
      <c r="K39" s="22"/>
      <c r="L39" s="22"/>
      <c r="M39" s="22"/>
      <c r="N39" s="22"/>
      <c r="P39" s="22"/>
      <c r="Q39" s="22"/>
      <c r="R39" s="22"/>
      <c r="S39" s="22"/>
      <c r="T39" s="22"/>
      <c r="U39" s="22"/>
      <c r="W39" s="22"/>
      <c r="X39" s="22"/>
      <c r="Y39" s="22"/>
      <c r="Z39" s="22"/>
      <c r="AB39" s="22"/>
      <c r="AC39" s="22"/>
      <c r="AD39" s="22"/>
      <c r="AE39" s="22"/>
      <c r="AF39" s="14"/>
      <c r="AG39" s="224">
        <v>1310</v>
      </c>
      <c r="AH39" s="22">
        <v>956</v>
      </c>
      <c r="AI39" s="22">
        <v>527</v>
      </c>
      <c r="AJ39" s="22">
        <v>2036</v>
      </c>
      <c r="AK39" s="14"/>
      <c r="AL39" s="22">
        <v>1478</v>
      </c>
      <c r="AM39" s="22">
        <v>1749</v>
      </c>
      <c r="AN39" s="22">
        <v>1483</v>
      </c>
      <c r="AO39" s="22">
        <v>1720</v>
      </c>
      <c r="AQ39" s="22">
        <v>1331</v>
      </c>
      <c r="AR39" s="22">
        <v>2402</v>
      </c>
      <c r="AS39" s="22">
        <v>1890</v>
      </c>
      <c r="AT39" s="22">
        <v>2053</v>
      </c>
      <c r="AU39" s="14"/>
      <c r="AV39" s="22">
        <v>1192</v>
      </c>
      <c r="AW39" s="22">
        <v>2428</v>
      </c>
      <c r="AX39" s="22">
        <v>2141</v>
      </c>
      <c r="AY39" s="22">
        <v>3706</v>
      </c>
      <c r="AZ39" s="14"/>
      <c r="BA39" s="22">
        <v>2296</v>
      </c>
      <c r="BB39" s="22">
        <v>2182</v>
      </c>
      <c r="BC39" s="22">
        <v>1795</v>
      </c>
      <c r="BD39" s="22">
        <v>1318</v>
      </c>
    </row>
    <row r="40" spans="1:56" ht="16.5" customHeight="1">
      <c r="A40" s="14"/>
      <c r="B40" s="12" t="s">
        <v>61</v>
      </c>
      <c r="C40" s="22">
        <v>33543</v>
      </c>
      <c r="D40" s="12"/>
      <c r="E40" s="22">
        <v>36840</v>
      </c>
      <c r="F40" s="22">
        <v>41640</v>
      </c>
      <c r="G40" s="22">
        <v>37478</v>
      </c>
      <c r="H40" s="22">
        <v>30429</v>
      </c>
      <c r="J40" s="22">
        <v>39346</v>
      </c>
      <c r="K40" s="22">
        <v>20123</v>
      </c>
      <c r="L40" s="22">
        <v>13302</v>
      </c>
      <c r="M40" s="22">
        <f>4958+338</f>
        <v>5296</v>
      </c>
      <c r="N40" s="22">
        <f>4958+338</f>
        <v>5296</v>
      </c>
      <c r="P40" s="22">
        <v>6939</v>
      </c>
      <c r="Q40" s="22">
        <v>112523</v>
      </c>
      <c r="R40" s="22">
        <v>137205</v>
      </c>
      <c r="S40" s="22">
        <v>137205</v>
      </c>
      <c r="T40" s="22">
        <v>139132</v>
      </c>
      <c r="U40" s="22">
        <v>139132</v>
      </c>
      <c r="W40" s="22">
        <v>139602</v>
      </c>
      <c r="X40" s="22">
        <v>139748</v>
      </c>
      <c r="Y40" s="22">
        <v>365315</v>
      </c>
      <c r="Z40" s="22">
        <v>367340</v>
      </c>
      <c r="AB40" s="22">
        <v>373220</v>
      </c>
      <c r="AC40" s="22">
        <v>103602</v>
      </c>
      <c r="AD40" s="22">
        <v>7136</v>
      </c>
      <c r="AE40" s="22">
        <v>121691</v>
      </c>
      <c r="AF40" s="14"/>
      <c r="AG40" s="22">
        <v>110611</v>
      </c>
      <c r="AH40" s="22">
        <v>94580</v>
      </c>
      <c r="AI40" s="22">
        <v>8031</v>
      </c>
      <c r="AJ40" s="22">
        <v>8274</v>
      </c>
      <c r="AK40" s="14"/>
      <c r="AL40" s="22">
        <v>8192</v>
      </c>
      <c r="AM40" s="22">
        <v>8911</v>
      </c>
      <c r="AN40" s="22">
        <v>8676</v>
      </c>
      <c r="AO40" s="22">
        <v>535</v>
      </c>
      <c r="AQ40" s="22">
        <v>382</v>
      </c>
      <c r="AR40" s="22">
        <v>23</v>
      </c>
      <c r="AS40" s="22">
        <v>2115</v>
      </c>
      <c r="AT40" s="22">
        <v>95117</v>
      </c>
      <c r="AU40" s="14"/>
      <c r="AV40" s="22">
        <v>61019</v>
      </c>
      <c r="AW40" s="22">
        <v>57144</v>
      </c>
      <c r="AX40" s="22">
        <v>6486</v>
      </c>
      <c r="AY40" s="22">
        <v>10357</v>
      </c>
      <c r="AZ40" s="14"/>
      <c r="BA40" s="22">
        <v>11441</v>
      </c>
      <c r="BB40" s="22">
        <v>11970</v>
      </c>
      <c r="BC40" s="22">
        <v>145912</v>
      </c>
      <c r="BD40" s="22">
        <v>145326</v>
      </c>
    </row>
    <row r="41" spans="1:56" ht="16.5" customHeight="1">
      <c r="B41" s="12" t="s">
        <v>138</v>
      </c>
      <c r="C41" s="22">
        <v>125609</v>
      </c>
      <c r="D41" s="12"/>
      <c r="E41" s="22">
        <v>273125</v>
      </c>
      <c r="F41" s="22">
        <v>227780</v>
      </c>
      <c r="G41" s="22">
        <v>167568</v>
      </c>
      <c r="H41" s="22">
        <v>143921</v>
      </c>
      <c r="J41" s="22">
        <f>290138+1</f>
        <v>290139</v>
      </c>
      <c r="K41" s="22">
        <v>299078</v>
      </c>
      <c r="L41" s="22">
        <v>232572</v>
      </c>
      <c r="M41" s="22">
        <f>185324-338-2012-4543</f>
        <v>178431</v>
      </c>
      <c r="N41" s="22">
        <f>185324-338-2012-4543</f>
        <v>178431</v>
      </c>
      <c r="P41" s="22">
        <v>334268</v>
      </c>
      <c r="Q41" s="22">
        <v>238607</v>
      </c>
      <c r="R41" s="22">
        <v>156449</v>
      </c>
      <c r="S41" s="22">
        <v>156449</v>
      </c>
      <c r="T41" s="22">
        <v>92004</v>
      </c>
      <c r="U41" s="22">
        <v>136251</v>
      </c>
      <c r="W41" s="22">
        <v>529169</v>
      </c>
      <c r="X41" s="22">
        <v>225831</v>
      </c>
      <c r="Y41" s="22">
        <v>157093</v>
      </c>
      <c r="Z41" s="22">
        <v>83789</v>
      </c>
      <c r="AB41" s="22">
        <v>16130</v>
      </c>
      <c r="AC41" s="22">
        <v>225365</v>
      </c>
      <c r="AD41" s="22">
        <v>156633</v>
      </c>
      <c r="AE41" s="22">
        <v>90551</v>
      </c>
      <c r="AF41" s="14"/>
      <c r="AG41" s="22">
        <v>316035</v>
      </c>
      <c r="AH41" s="22">
        <v>242184</v>
      </c>
      <c r="AI41" s="22">
        <v>165111</v>
      </c>
      <c r="AJ41" s="22">
        <v>93764</v>
      </c>
      <c r="AK41" s="14"/>
      <c r="AL41" s="22">
        <v>338408</v>
      </c>
      <c r="AM41" s="22">
        <v>257015</v>
      </c>
      <c r="AN41" s="22">
        <v>176804</v>
      </c>
      <c r="AO41" s="22">
        <v>94587</v>
      </c>
      <c r="AQ41" s="22">
        <v>338262</v>
      </c>
      <c r="AR41" s="22">
        <v>16624</v>
      </c>
      <c r="AS41" s="22">
        <v>14505</v>
      </c>
      <c r="AT41" s="22">
        <v>11274</v>
      </c>
      <c r="AU41" s="14"/>
      <c r="AV41" s="22">
        <v>458168</v>
      </c>
      <c r="AW41" s="22">
        <v>338787</v>
      </c>
      <c r="AX41" s="22">
        <v>240389</v>
      </c>
      <c r="AY41" s="22">
        <v>148922</v>
      </c>
      <c r="AZ41" s="14"/>
      <c r="BA41" s="22">
        <v>521136</v>
      </c>
      <c r="BB41" s="22">
        <v>401884</v>
      </c>
      <c r="BC41" s="22">
        <v>273150</v>
      </c>
      <c r="BD41" s="22">
        <v>139079</v>
      </c>
    </row>
    <row r="42" spans="1:56" ht="16.5" customHeight="1">
      <c r="B42" s="12" t="s">
        <v>132</v>
      </c>
      <c r="C42" s="22">
        <v>1155</v>
      </c>
      <c r="D42" s="12"/>
      <c r="E42" s="22">
        <v>1155</v>
      </c>
      <c r="F42" s="22">
        <v>1143</v>
      </c>
      <c r="G42" s="22">
        <v>2259</v>
      </c>
      <c r="H42" s="22">
        <v>1863</v>
      </c>
      <c r="J42" s="22">
        <v>6909</v>
      </c>
      <c r="K42" s="22">
        <v>2521</v>
      </c>
      <c r="L42" s="22">
        <v>1249</v>
      </c>
      <c r="M42" s="22">
        <f>770+495</f>
        <v>1265</v>
      </c>
      <c r="N42" s="22">
        <f>770+495</f>
        <v>1265</v>
      </c>
      <c r="P42" s="22">
        <v>1288</v>
      </c>
      <c r="Q42" s="22">
        <v>1312</v>
      </c>
      <c r="R42" s="22">
        <v>1335</v>
      </c>
      <c r="S42" s="22">
        <v>1335</v>
      </c>
      <c r="T42" s="22">
        <v>1921</v>
      </c>
      <c r="U42" s="22">
        <v>1921</v>
      </c>
      <c r="W42" s="22">
        <v>1921</v>
      </c>
      <c r="X42" s="22">
        <v>1921</v>
      </c>
      <c r="Y42" s="22">
        <v>514</v>
      </c>
      <c r="Z42" s="22">
        <v>515</v>
      </c>
      <c r="AB42" s="22">
        <v>515</v>
      </c>
      <c r="AC42" s="22">
        <v>730</v>
      </c>
      <c r="AD42" s="22">
        <v>701</v>
      </c>
      <c r="AE42" s="22">
        <v>701</v>
      </c>
      <c r="AF42" s="14"/>
      <c r="AG42" s="22">
        <v>701</v>
      </c>
      <c r="AH42" s="22">
        <v>701</v>
      </c>
      <c r="AI42" s="22">
        <v>701</v>
      </c>
      <c r="AJ42" s="22">
        <v>322</v>
      </c>
      <c r="AK42" s="14"/>
      <c r="AL42" s="22">
        <v>323</v>
      </c>
      <c r="AM42" s="22">
        <v>323</v>
      </c>
      <c r="AN42" s="22">
        <v>323</v>
      </c>
      <c r="AO42" s="22">
        <v>253</v>
      </c>
      <c r="AQ42" s="22">
        <v>253</v>
      </c>
      <c r="AR42" s="22">
        <v>253</v>
      </c>
      <c r="AS42" s="22">
        <v>155</v>
      </c>
      <c r="AT42" s="22">
        <v>5005</v>
      </c>
      <c r="AU42" s="14"/>
      <c r="AV42" s="22">
        <v>4960</v>
      </c>
      <c r="AW42" s="22">
        <v>4594</v>
      </c>
      <c r="AX42" s="22">
        <v>4505</v>
      </c>
      <c r="AY42" s="22">
        <v>5255</v>
      </c>
      <c r="AZ42" s="14"/>
      <c r="BA42" s="22">
        <v>4901</v>
      </c>
      <c r="BB42" s="22">
        <v>945</v>
      </c>
      <c r="BC42" s="22">
        <v>763</v>
      </c>
      <c r="BD42" s="22">
        <v>257</v>
      </c>
    </row>
    <row r="43" spans="1:56" ht="16.5" customHeight="1">
      <c r="B43" s="12" t="s">
        <v>137</v>
      </c>
      <c r="C43" s="22">
        <v>14212</v>
      </c>
      <c r="D43" s="12"/>
      <c r="E43" s="22">
        <v>13649</v>
      </c>
      <c r="F43" s="22">
        <v>4584</v>
      </c>
      <c r="G43" s="22">
        <v>5905</v>
      </c>
      <c r="H43" s="22">
        <v>470</v>
      </c>
      <c r="J43" s="22">
        <v>14957</v>
      </c>
      <c r="K43" s="22">
        <v>13510</v>
      </c>
      <c r="L43" s="22">
        <v>9066</v>
      </c>
      <c r="M43" s="22">
        <f>14177-3630</f>
        <v>10547</v>
      </c>
      <c r="N43" s="22">
        <v>10547</v>
      </c>
      <c r="P43" s="22">
        <v>30459</v>
      </c>
      <c r="Q43" s="22">
        <v>12074</v>
      </c>
      <c r="R43" s="22">
        <v>7176</v>
      </c>
      <c r="S43" s="22">
        <v>4689</v>
      </c>
      <c r="T43" s="22">
        <v>5562</v>
      </c>
      <c r="U43" s="22">
        <v>5741</v>
      </c>
      <c r="W43" s="22">
        <v>6513</v>
      </c>
      <c r="X43" s="22">
        <v>9381</v>
      </c>
      <c r="Y43" s="22">
        <v>38001</v>
      </c>
      <c r="Z43" s="22">
        <v>45668</v>
      </c>
      <c r="AB43" s="22">
        <v>40290</v>
      </c>
      <c r="AC43" s="22">
        <v>7684</v>
      </c>
      <c r="AD43" s="22">
        <v>11670</v>
      </c>
      <c r="AE43" s="22">
        <v>23811</v>
      </c>
      <c r="AF43" s="14"/>
      <c r="AG43" s="22">
        <v>12083</v>
      </c>
      <c r="AH43" s="22">
        <v>1711</v>
      </c>
      <c r="AI43" s="22">
        <v>5469</v>
      </c>
      <c r="AJ43" s="22">
        <v>1974</v>
      </c>
      <c r="AK43" s="14"/>
      <c r="AL43" s="22">
        <v>5004</v>
      </c>
      <c r="AM43" s="22">
        <v>5708</v>
      </c>
      <c r="AN43" s="22">
        <v>6493</v>
      </c>
      <c r="AO43" s="22">
        <v>7453</v>
      </c>
      <c r="AQ43" s="22">
        <v>52</v>
      </c>
      <c r="AR43" s="22">
        <v>3334</v>
      </c>
      <c r="AS43" s="22">
        <v>1337</v>
      </c>
      <c r="AT43" s="22">
        <v>15682</v>
      </c>
      <c r="AU43" s="14"/>
      <c r="AV43" s="22">
        <v>1453</v>
      </c>
      <c r="AW43" s="22">
        <v>6102</v>
      </c>
      <c r="AX43" s="22">
        <v>261</v>
      </c>
      <c r="AY43" s="22">
        <v>2135</v>
      </c>
      <c r="AZ43" s="14"/>
      <c r="BA43" s="22">
        <v>853</v>
      </c>
      <c r="BB43" s="22">
        <v>3446</v>
      </c>
      <c r="BC43" s="22">
        <v>10368</v>
      </c>
      <c r="BD43" s="22">
        <v>21602</v>
      </c>
    </row>
    <row r="44" spans="1:56" ht="16.5" customHeight="1">
      <c r="B44" s="218" t="s">
        <v>191</v>
      </c>
      <c r="C44" s="225">
        <f>712+1000</f>
        <v>1712</v>
      </c>
      <c r="D44" s="218"/>
      <c r="E44" s="225">
        <f>879+1058</f>
        <v>1937</v>
      </c>
      <c r="F44" s="225">
        <f>786+1177</f>
        <v>1963</v>
      </c>
      <c r="G44" s="225">
        <f>4094-1040</f>
        <v>3054</v>
      </c>
      <c r="H44" s="225">
        <f>944+1000</f>
        <v>1944</v>
      </c>
      <c r="I44" s="226"/>
      <c r="J44" s="225">
        <f>1118+1347</f>
        <v>2465</v>
      </c>
      <c r="K44" s="225">
        <f>1243+1374</f>
        <v>2617</v>
      </c>
      <c r="L44" s="225">
        <f>1427-1+10</f>
        <v>1436</v>
      </c>
      <c r="M44" s="225">
        <f>1933+517+2012+4543-495</f>
        <v>8510</v>
      </c>
      <c r="N44" s="225">
        <f>1933+517+2012+4543-495</f>
        <v>8510</v>
      </c>
      <c r="O44" s="226"/>
      <c r="P44" s="225">
        <f>2087+517</f>
        <v>2604</v>
      </c>
      <c r="Q44" s="225">
        <f>4228+517</f>
        <v>4745</v>
      </c>
      <c r="R44" s="225">
        <f>6690+517</f>
        <v>7207</v>
      </c>
      <c r="S44" s="225">
        <v>7207</v>
      </c>
      <c r="T44" s="225">
        <f>8961+2815</f>
        <v>11776</v>
      </c>
      <c r="U44" s="225">
        <v>11776</v>
      </c>
      <c r="W44" s="225">
        <v>9084</v>
      </c>
      <c r="X44" s="225">
        <v>8701</v>
      </c>
      <c r="Y44" s="225">
        <v>11409</v>
      </c>
      <c r="Z44" s="225">
        <v>12683</v>
      </c>
      <c r="AB44" s="225">
        <v>15129</v>
      </c>
      <c r="AC44" s="225">
        <v>7703</v>
      </c>
      <c r="AD44" s="225">
        <v>10057</v>
      </c>
      <c r="AE44" s="225">
        <v>11414</v>
      </c>
      <c r="AF44" s="14"/>
      <c r="AG44" s="225">
        <v>5829</v>
      </c>
      <c r="AH44" s="225">
        <v>7943</v>
      </c>
      <c r="AI44" s="225">
        <v>9809</v>
      </c>
      <c r="AJ44" s="225">
        <v>12404</v>
      </c>
      <c r="AK44" s="14"/>
      <c r="AL44" s="225">
        <v>5066</v>
      </c>
      <c r="AM44" s="225">
        <v>8244</v>
      </c>
      <c r="AN44" s="225">
        <v>11277</v>
      </c>
      <c r="AO44" s="225">
        <v>13522</v>
      </c>
      <c r="AQ44" s="225">
        <v>10729</v>
      </c>
      <c r="AR44" s="225">
        <v>6946</v>
      </c>
      <c r="AS44" s="225">
        <v>9342</v>
      </c>
      <c r="AT44" s="225">
        <v>12510</v>
      </c>
      <c r="AU44" s="14"/>
      <c r="AV44" s="225">
        <v>6891</v>
      </c>
      <c r="AW44" s="225">
        <v>9384</v>
      </c>
      <c r="AX44" s="225">
        <v>10455</v>
      </c>
      <c r="AY44" s="225">
        <v>13907</v>
      </c>
      <c r="AZ44" s="14"/>
      <c r="BA44" s="225">
        <v>7091</v>
      </c>
      <c r="BB44" s="225">
        <v>9773</v>
      </c>
      <c r="BC44" s="225">
        <v>13127</v>
      </c>
      <c r="BD44" s="225">
        <v>16519</v>
      </c>
    </row>
    <row r="45" spans="1:56" ht="16.5" customHeight="1">
      <c r="B45" s="218" t="s">
        <v>133</v>
      </c>
      <c r="C45" s="195">
        <v>0</v>
      </c>
      <c r="D45" s="218"/>
      <c r="E45" s="195">
        <v>0</v>
      </c>
      <c r="F45" s="195">
        <v>0</v>
      </c>
      <c r="G45" s="195">
        <v>0</v>
      </c>
      <c r="H45" s="195">
        <v>0</v>
      </c>
      <c r="I45" s="226"/>
      <c r="J45" s="195">
        <v>0</v>
      </c>
      <c r="K45" s="195">
        <v>0</v>
      </c>
      <c r="L45" s="195">
        <v>0</v>
      </c>
      <c r="M45" s="195">
        <v>0</v>
      </c>
      <c r="N45" s="195">
        <v>0</v>
      </c>
      <c r="O45" s="226"/>
      <c r="P45" s="195">
        <v>0</v>
      </c>
      <c r="Q45" s="195">
        <v>0</v>
      </c>
      <c r="R45" s="195">
        <v>0</v>
      </c>
      <c r="S45" s="195">
        <v>0</v>
      </c>
      <c r="T45" s="195">
        <v>0</v>
      </c>
      <c r="U45" s="195">
        <v>0</v>
      </c>
      <c r="W45" s="195">
        <v>0</v>
      </c>
      <c r="X45" s="195">
        <v>0</v>
      </c>
      <c r="Y45" s="195">
        <v>0</v>
      </c>
      <c r="Z45" s="195">
        <v>0</v>
      </c>
      <c r="AB45" s="195">
        <v>0</v>
      </c>
      <c r="AC45" s="195">
        <v>0</v>
      </c>
      <c r="AD45" s="195">
        <v>0</v>
      </c>
      <c r="AE45" s="195">
        <v>0</v>
      </c>
      <c r="AF45" s="14"/>
      <c r="AG45" s="195">
        <v>0</v>
      </c>
      <c r="AH45" s="195">
        <v>0</v>
      </c>
      <c r="AI45" s="195">
        <v>0</v>
      </c>
      <c r="AJ45" s="195">
        <v>0</v>
      </c>
      <c r="AK45" s="14"/>
      <c r="AL45" s="195">
        <v>0</v>
      </c>
      <c r="AM45" s="195">
        <v>0</v>
      </c>
      <c r="AN45" s="195">
        <v>0</v>
      </c>
      <c r="AO45" s="195">
        <v>0</v>
      </c>
      <c r="AQ45" s="195">
        <v>0</v>
      </c>
      <c r="AR45" s="195">
        <v>0</v>
      </c>
      <c r="AS45" s="195">
        <v>0</v>
      </c>
      <c r="AT45" s="195">
        <v>0</v>
      </c>
      <c r="AU45" s="14"/>
      <c r="AV45" s="195"/>
      <c r="AW45" s="195"/>
      <c r="AX45" s="195"/>
      <c r="AY45" s="195"/>
      <c r="AZ45" s="14"/>
      <c r="BA45" s="195"/>
      <c r="BB45" s="195"/>
      <c r="BC45" s="195"/>
      <c r="BD45" s="195"/>
    </row>
    <row r="46" spans="1:56" ht="16.5" customHeight="1">
      <c r="A46" s="14"/>
      <c r="B46" s="15" t="s">
        <v>274</v>
      </c>
      <c r="C46" s="153"/>
      <c r="D46" s="12"/>
      <c r="E46" s="22"/>
      <c r="F46" s="153"/>
      <c r="G46" s="153"/>
      <c r="H46" s="153"/>
      <c r="J46" s="22"/>
      <c r="K46" s="22"/>
      <c r="L46" s="22"/>
      <c r="M46" s="22"/>
      <c r="N46" s="22"/>
      <c r="P46" s="22"/>
      <c r="Q46" s="22"/>
      <c r="R46" s="22"/>
      <c r="S46" s="22"/>
      <c r="T46" s="22"/>
      <c r="U46" s="22"/>
      <c r="W46" s="22"/>
      <c r="X46" s="22"/>
      <c r="Y46" s="22"/>
      <c r="Z46" s="22"/>
      <c r="AB46" s="153"/>
      <c r="AC46" s="22"/>
      <c r="AD46" s="22"/>
      <c r="AE46" s="22"/>
      <c r="AF46" s="14"/>
      <c r="AG46" s="153">
        <v>0</v>
      </c>
      <c r="AH46" s="153">
        <v>0</v>
      </c>
      <c r="AI46" s="153">
        <v>0</v>
      </c>
      <c r="AJ46" s="153">
        <v>0</v>
      </c>
      <c r="AK46" s="14"/>
      <c r="AL46" s="153">
        <v>0</v>
      </c>
      <c r="AM46" s="153">
        <v>0</v>
      </c>
      <c r="AN46" s="153">
        <v>0</v>
      </c>
      <c r="AO46" s="153">
        <v>0</v>
      </c>
      <c r="AQ46" s="153">
        <v>0</v>
      </c>
      <c r="AR46" s="153">
        <v>0</v>
      </c>
      <c r="AS46" s="153">
        <v>0</v>
      </c>
      <c r="AT46" s="153">
        <v>0</v>
      </c>
      <c r="AU46" s="14"/>
      <c r="AV46" s="153"/>
      <c r="AW46" s="153">
        <v>0</v>
      </c>
      <c r="AX46" s="153"/>
      <c r="AY46" s="153"/>
      <c r="AZ46" s="14"/>
      <c r="BA46" s="153"/>
      <c r="BB46" s="153"/>
      <c r="BC46" s="153"/>
      <c r="BD46" s="153">
        <v>0</v>
      </c>
    </row>
    <row r="47" spans="1:56" ht="16.5" customHeight="1">
      <c r="A47" s="14"/>
      <c r="B47" s="12" t="s">
        <v>266</v>
      </c>
      <c r="C47" s="153">
        <v>29061</v>
      </c>
      <c r="D47" s="12"/>
      <c r="E47" s="22">
        <v>34331</v>
      </c>
      <c r="F47" s="153">
        <f>-12515-1</f>
        <v>-12516</v>
      </c>
      <c r="G47" s="153">
        <v>91213</v>
      </c>
      <c r="H47" s="153">
        <v>27501</v>
      </c>
      <c r="J47" s="22">
        <v>35618</v>
      </c>
      <c r="K47" s="22">
        <v>41521</v>
      </c>
      <c r="L47" s="22">
        <v>27833</v>
      </c>
      <c r="M47" s="22">
        <f>17253+3630</f>
        <v>20883</v>
      </c>
      <c r="N47" s="22">
        <v>20883</v>
      </c>
      <c r="P47" s="22">
        <v>16536</v>
      </c>
      <c r="Q47" s="22">
        <v>19515</v>
      </c>
      <c r="R47" s="22">
        <v>51633</v>
      </c>
      <c r="S47" s="22">
        <v>54120</v>
      </c>
      <c r="T47" s="22">
        <v>46770</v>
      </c>
      <c r="U47" s="22">
        <v>46824</v>
      </c>
      <c r="W47" s="22">
        <v>56382</v>
      </c>
      <c r="X47" s="22">
        <v>49969</v>
      </c>
      <c r="Y47" s="22">
        <v>47983</v>
      </c>
      <c r="Z47" s="22">
        <v>62970</v>
      </c>
      <c r="AB47" s="153">
        <v>41421</v>
      </c>
      <c r="AC47" s="22">
        <v>41900</v>
      </c>
      <c r="AD47" s="22">
        <v>46355</v>
      </c>
      <c r="AE47" s="22">
        <v>25420</v>
      </c>
      <c r="AF47" s="14"/>
      <c r="AG47" s="153">
        <v>23407</v>
      </c>
      <c r="AH47" s="22">
        <v>24551</v>
      </c>
      <c r="AI47" s="22">
        <v>30117</v>
      </c>
      <c r="AJ47" s="22">
        <v>53332</v>
      </c>
      <c r="AK47" s="14"/>
      <c r="AL47" s="153">
        <v>55195</v>
      </c>
      <c r="AM47" s="22">
        <v>62495</v>
      </c>
      <c r="AN47" s="22">
        <v>57770</v>
      </c>
      <c r="AO47" s="22">
        <v>57882</v>
      </c>
      <c r="AQ47" s="153">
        <v>67468</v>
      </c>
      <c r="AR47" s="22">
        <v>83752</v>
      </c>
      <c r="AS47" s="22">
        <v>101016</v>
      </c>
      <c r="AT47" s="22">
        <v>109055</v>
      </c>
      <c r="AU47" s="14"/>
      <c r="AV47" s="22">
        <v>120449</v>
      </c>
      <c r="AW47" s="22">
        <v>153644</v>
      </c>
      <c r="AX47" s="22">
        <v>164691</v>
      </c>
      <c r="AY47" s="22">
        <v>175533</v>
      </c>
      <c r="AZ47" s="14"/>
      <c r="BA47" s="153">
        <v>162940</v>
      </c>
      <c r="BB47" s="153">
        <v>151140</v>
      </c>
      <c r="BC47" s="153">
        <v>135958</v>
      </c>
      <c r="BD47" s="153">
        <v>163814</v>
      </c>
    </row>
    <row r="48" spans="1:56" ht="16.5" customHeight="1">
      <c r="A48" s="14"/>
      <c r="B48" s="12" t="s">
        <v>136</v>
      </c>
      <c r="C48" s="153">
        <v>1451</v>
      </c>
      <c r="D48" s="12"/>
      <c r="E48" s="153">
        <v>6987</v>
      </c>
      <c r="F48" s="153">
        <v>15170</v>
      </c>
      <c r="G48" s="153">
        <v>0</v>
      </c>
      <c r="H48" s="153">
        <v>0</v>
      </c>
      <c r="J48" s="153">
        <v>0</v>
      </c>
      <c r="K48" s="153">
        <v>0</v>
      </c>
      <c r="L48" s="153">
        <v>0</v>
      </c>
      <c r="M48" s="153">
        <v>0</v>
      </c>
      <c r="N48" s="153">
        <v>0</v>
      </c>
      <c r="P48" s="153">
        <v>0</v>
      </c>
      <c r="Q48" s="153">
        <v>0</v>
      </c>
      <c r="R48" s="153">
        <v>0</v>
      </c>
      <c r="S48" s="153">
        <v>0</v>
      </c>
      <c r="T48" s="153">
        <v>0</v>
      </c>
      <c r="U48" s="153">
        <v>0</v>
      </c>
      <c r="W48" s="153">
        <v>0</v>
      </c>
      <c r="X48" s="153">
        <v>0</v>
      </c>
      <c r="Y48" s="153">
        <v>0</v>
      </c>
      <c r="Z48" s="153">
        <v>0</v>
      </c>
      <c r="AB48" s="153">
        <v>0</v>
      </c>
      <c r="AC48" s="153">
        <v>0</v>
      </c>
      <c r="AD48" s="153">
        <v>0</v>
      </c>
      <c r="AE48" s="153">
        <v>175</v>
      </c>
      <c r="AF48" s="14"/>
      <c r="AG48" s="153">
        <v>3182</v>
      </c>
      <c r="AH48" s="153">
        <v>2420</v>
      </c>
      <c r="AI48" s="153">
        <v>1389</v>
      </c>
      <c r="AJ48" s="153">
        <v>42</v>
      </c>
      <c r="AK48" s="14"/>
      <c r="AL48" s="153">
        <v>31264</v>
      </c>
      <c r="AM48" s="153">
        <v>16803</v>
      </c>
      <c r="AN48" s="153">
        <v>3182</v>
      </c>
      <c r="AO48" s="153">
        <v>0</v>
      </c>
      <c r="AQ48" s="153">
        <v>0</v>
      </c>
      <c r="AR48" s="153">
        <v>0</v>
      </c>
      <c r="AS48" s="153">
        <v>0</v>
      </c>
      <c r="AT48" s="153">
        <v>727</v>
      </c>
      <c r="AU48" s="14"/>
      <c r="AV48" s="153">
        <v>0</v>
      </c>
      <c r="AW48" s="153">
        <v>0</v>
      </c>
      <c r="AX48" s="153">
        <v>121</v>
      </c>
      <c r="AY48" s="153">
        <v>0</v>
      </c>
      <c r="AZ48" s="14"/>
      <c r="BA48" s="153">
        <v>1490</v>
      </c>
      <c r="BB48" s="153">
        <v>32</v>
      </c>
      <c r="BC48" s="153">
        <v>4</v>
      </c>
      <c r="BD48" s="153">
        <v>1</v>
      </c>
    </row>
    <row r="49" spans="1:56" ht="16.5" customHeight="1">
      <c r="B49" s="12" t="s">
        <v>85</v>
      </c>
      <c r="C49" s="153">
        <v>0</v>
      </c>
      <c r="D49" s="12"/>
      <c r="E49" s="153">
        <v>0</v>
      </c>
      <c r="F49" s="153">
        <v>0</v>
      </c>
      <c r="G49" s="153">
        <v>0</v>
      </c>
      <c r="H49" s="153">
        <v>0</v>
      </c>
      <c r="J49" s="153">
        <v>0</v>
      </c>
      <c r="K49" s="153">
        <v>0</v>
      </c>
      <c r="L49" s="153">
        <v>0</v>
      </c>
      <c r="M49" s="153">
        <v>0</v>
      </c>
      <c r="N49" s="153">
        <v>0</v>
      </c>
      <c r="P49" s="153">
        <v>0</v>
      </c>
      <c r="Q49" s="153">
        <v>0</v>
      </c>
      <c r="R49" s="153">
        <v>0</v>
      </c>
      <c r="S49" s="153">
        <v>0</v>
      </c>
      <c r="T49" s="153">
        <v>0</v>
      </c>
      <c r="U49" s="153">
        <v>0</v>
      </c>
      <c r="W49" s="153">
        <v>0</v>
      </c>
      <c r="X49" s="153">
        <v>0</v>
      </c>
      <c r="Y49" s="153">
        <v>0</v>
      </c>
      <c r="Z49" s="153">
        <v>0</v>
      </c>
      <c r="AB49" s="153">
        <v>0</v>
      </c>
      <c r="AC49" s="153">
        <v>0</v>
      </c>
      <c r="AD49" s="153">
        <v>0</v>
      </c>
      <c r="AE49" s="153">
        <v>0</v>
      </c>
      <c r="AF49" s="14"/>
      <c r="AG49" s="153">
        <v>0</v>
      </c>
      <c r="AH49" s="153">
        <v>0</v>
      </c>
      <c r="AI49" s="153">
        <v>0</v>
      </c>
      <c r="AJ49" s="153"/>
      <c r="AK49" s="14"/>
      <c r="AL49" s="153">
        <v>0</v>
      </c>
      <c r="AM49" s="153">
        <v>0</v>
      </c>
      <c r="AN49" s="153">
        <v>0</v>
      </c>
      <c r="AO49" s="153">
        <v>0</v>
      </c>
      <c r="AQ49" s="153">
        <v>0</v>
      </c>
      <c r="AR49" s="153">
        <v>0</v>
      </c>
      <c r="AS49" s="153">
        <v>0</v>
      </c>
      <c r="AT49" s="153">
        <v>0</v>
      </c>
      <c r="AU49" s="14"/>
      <c r="AV49" s="153">
        <v>0</v>
      </c>
      <c r="AW49" s="153">
        <v>0</v>
      </c>
      <c r="AX49" s="153">
        <v>0</v>
      </c>
      <c r="AY49" s="153">
        <v>0</v>
      </c>
      <c r="AZ49" s="14"/>
      <c r="BA49" s="153"/>
      <c r="BB49" s="153"/>
      <c r="BC49" s="153"/>
      <c r="BD49" s="153">
        <v>0</v>
      </c>
    </row>
    <row r="50" spans="1:56" ht="3.75" customHeight="1">
      <c r="B50" s="12"/>
      <c r="C50" s="153"/>
      <c r="D50" s="12"/>
      <c r="E50" s="153"/>
      <c r="F50" s="153"/>
      <c r="G50" s="153"/>
      <c r="H50" s="153"/>
      <c r="J50" s="153"/>
      <c r="K50" s="153"/>
      <c r="L50" s="153"/>
      <c r="M50" s="153"/>
      <c r="N50" s="153"/>
      <c r="P50" s="153"/>
      <c r="Q50" s="153"/>
      <c r="R50" s="153"/>
      <c r="S50" s="153"/>
      <c r="T50" s="153"/>
      <c r="U50" s="153"/>
      <c r="W50" s="153"/>
      <c r="AB50" s="153"/>
      <c r="AF50" s="14"/>
      <c r="AG50" s="153"/>
      <c r="AK50" s="14"/>
      <c r="AL50" s="153"/>
      <c r="AQ50" s="153"/>
      <c r="AU50" s="14"/>
      <c r="AZ50" s="14"/>
      <c r="BA50" s="153"/>
      <c r="BB50" s="153"/>
      <c r="BC50" s="153"/>
      <c r="BD50" s="153"/>
    </row>
    <row r="51" spans="1:56" ht="20.25" customHeight="1">
      <c r="B51" s="24" t="s">
        <v>56</v>
      </c>
      <c r="C51" s="25">
        <f>+SUM(C38:C49)</f>
        <v>610088</v>
      </c>
      <c r="D51" s="24"/>
      <c r="E51" s="25">
        <f>+SUM(E38:E49)</f>
        <v>929452</v>
      </c>
      <c r="F51" s="25">
        <f>+SUM(F38:F49)</f>
        <v>696929</v>
      </c>
      <c r="G51" s="25">
        <f>+SUM(G38:G49)</f>
        <v>478854</v>
      </c>
      <c r="H51" s="25">
        <f>+SUM(H38:H49)</f>
        <v>206128</v>
      </c>
      <c r="I51" s="26"/>
      <c r="J51" s="25">
        <f>+SUM(J38:J49)</f>
        <v>493179</v>
      </c>
      <c r="K51" s="25">
        <f>+SUM(K38:K49)</f>
        <v>495604</v>
      </c>
      <c r="L51" s="25">
        <f>+SUM(L38:L49)</f>
        <v>409153</v>
      </c>
      <c r="M51" s="25">
        <f>+SUM(M38:M49)</f>
        <v>348347</v>
      </c>
      <c r="N51" s="25">
        <f>+SUM(N38:N49)</f>
        <v>348347</v>
      </c>
      <c r="P51" s="25">
        <f t="shared" ref="P51:U51" si="3">+SUM(P38:P49)</f>
        <v>397199</v>
      </c>
      <c r="Q51" s="25">
        <f t="shared" si="3"/>
        <v>394276</v>
      </c>
      <c r="R51" s="25">
        <f t="shared" si="3"/>
        <v>366896</v>
      </c>
      <c r="S51" s="25">
        <f t="shared" si="3"/>
        <v>366896</v>
      </c>
      <c r="T51" s="25">
        <f t="shared" si="3"/>
        <v>303085</v>
      </c>
      <c r="U51" s="25">
        <f t="shared" si="3"/>
        <v>347565</v>
      </c>
      <c r="W51" s="25">
        <f>+SUM(W38:W49)</f>
        <v>780065</v>
      </c>
      <c r="X51" s="25">
        <f>+SUM(X38:X49)</f>
        <v>448595</v>
      </c>
      <c r="Y51" s="25">
        <f>+SUM(Y38:Y49)</f>
        <v>624371</v>
      </c>
      <c r="Z51" s="25">
        <f>+SUM(Z38:Z49)</f>
        <v>576693</v>
      </c>
      <c r="AB51" s="25">
        <f>+SUM(AB38:AB49)</f>
        <v>489576</v>
      </c>
      <c r="AC51" s="25">
        <f>+SUM(AC38:AC49)</f>
        <v>573360</v>
      </c>
      <c r="AD51" s="25">
        <f>+SUM(AD38:AD49)</f>
        <v>476281</v>
      </c>
      <c r="AE51" s="25">
        <f>+SUM(AE38:AE49)</f>
        <v>392869</v>
      </c>
      <c r="AF51" s="14"/>
      <c r="AG51" s="25">
        <f>+SUM(AG38:AG49)</f>
        <v>613581</v>
      </c>
      <c r="AH51" s="25">
        <f>+SUM(AH38:AH49)</f>
        <v>519583</v>
      </c>
      <c r="AI51" s="25">
        <f>+SUM(AI38:AI49)</f>
        <v>221424</v>
      </c>
      <c r="AJ51" s="25">
        <f>+SUM(AJ38:AJ49)</f>
        <v>176400</v>
      </c>
      <c r="AK51" s="14"/>
      <c r="AL51" s="25">
        <f>+SUM(AL38:AL49)</f>
        <v>455384</v>
      </c>
      <c r="AM51" s="25">
        <f>+SUM(AM38:AM49)</f>
        <v>379026</v>
      </c>
      <c r="AN51" s="25">
        <f>+SUM(AN38:AN49)</f>
        <v>269391</v>
      </c>
      <c r="AO51" s="25">
        <f>+SUM(AO38:AO49)</f>
        <v>176189</v>
      </c>
      <c r="AQ51" s="25">
        <f>+SUM(AQ38:AQ49)</f>
        <v>424320</v>
      </c>
      <c r="AR51" s="25">
        <f>+SUM(AR38:AR49)</f>
        <v>247155</v>
      </c>
      <c r="AS51" s="25">
        <f>+SUM(AS38:AS49)</f>
        <v>184208</v>
      </c>
      <c r="AT51" s="25">
        <f>+SUM(AT38:AT49)</f>
        <v>253979</v>
      </c>
      <c r="AU51" s="14"/>
      <c r="AV51" s="25">
        <f>+SUM(AV38:AV49)</f>
        <v>686352</v>
      </c>
      <c r="AW51" s="25">
        <f>+SUM(AW38:AW49)</f>
        <v>576143</v>
      </c>
      <c r="AX51" s="25">
        <v>437898</v>
      </c>
      <c r="AY51" s="25">
        <v>368735</v>
      </c>
      <c r="AZ51" s="14"/>
      <c r="BA51" s="25">
        <v>766480</v>
      </c>
      <c r="BB51" s="25">
        <v>630978</v>
      </c>
      <c r="BC51" s="25">
        <v>644204</v>
      </c>
      <c r="BD51" s="25">
        <v>514757</v>
      </c>
    </row>
    <row r="52" spans="1:56" ht="6" customHeight="1">
      <c r="B52" s="24"/>
      <c r="C52" s="25"/>
      <c r="D52" s="24"/>
      <c r="E52" s="25"/>
      <c r="F52" s="25"/>
      <c r="G52" s="25"/>
      <c r="H52" s="25"/>
      <c r="I52" s="26"/>
      <c r="J52" s="25"/>
      <c r="K52" s="25"/>
      <c r="L52" s="25"/>
      <c r="M52" s="25"/>
      <c r="N52" s="25"/>
      <c r="P52" s="25"/>
      <c r="Q52" s="25"/>
      <c r="R52" s="25"/>
      <c r="S52" s="25"/>
      <c r="T52" s="25"/>
      <c r="U52" s="25"/>
      <c r="W52" s="25"/>
      <c r="AB52" s="25"/>
      <c r="AF52" s="14"/>
      <c r="AG52" s="25"/>
      <c r="AK52" s="14"/>
      <c r="AL52" s="25"/>
      <c r="AQ52" s="25"/>
      <c r="AU52" s="14"/>
      <c r="AZ52" s="14"/>
      <c r="BA52" s="25"/>
      <c r="BB52" s="25"/>
      <c r="BD52" s="14"/>
    </row>
    <row r="53" spans="1:56" ht="16.5" customHeight="1">
      <c r="B53" s="15" t="s">
        <v>33</v>
      </c>
      <c r="C53" s="22">
        <v>418952</v>
      </c>
      <c r="D53" s="15"/>
      <c r="E53" s="22">
        <v>418953</v>
      </c>
      <c r="F53" s="22">
        <v>401454</v>
      </c>
      <c r="G53" s="22">
        <v>23955</v>
      </c>
      <c r="H53" s="22">
        <v>23</v>
      </c>
      <c r="J53" s="22">
        <v>24</v>
      </c>
      <c r="K53" s="22">
        <v>550025</v>
      </c>
      <c r="L53" s="22">
        <v>551187</v>
      </c>
      <c r="M53" s="22">
        <v>550028</v>
      </c>
      <c r="N53" s="22">
        <v>550028</v>
      </c>
      <c r="P53" s="22">
        <v>550029</v>
      </c>
      <c r="Q53" s="22">
        <v>550030</v>
      </c>
      <c r="R53" s="22">
        <v>550031</v>
      </c>
      <c r="S53" s="22">
        <v>550031</v>
      </c>
      <c r="T53" s="22">
        <v>550033</v>
      </c>
      <c r="U53" s="22">
        <v>550033</v>
      </c>
      <c r="W53" s="22">
        <v>655035</v>
      </c>
      <c r="X53" s="22">
        <v>865036</v>
      </c>
      <c r="Y53" s="22">
        <v>458038</v>
      </c>
      <c r="Z53" s="22">
        <v>458039</v>
      </c>
      <c r="AB53" s="22">
        <v>738040</v>
      </c>
      <c r="AC53" s="22">
        <v>738043</v>
      </c>
      <c r="AD53" s="22">
        <v>738045</v>
      </c>
      <c r="AE53" s="22">
        <v>738047</v>
      </c>
      <c r="AF53" s="14"/>
      <c r="AG53" s="22">
        <v>658049</v>
      </c>
      <c r="AH53" s="22">
        <v>618552</v>
      </c>
      <c r="AI53" s="22">
        <v>487754</v>
      </c>
      <c r="AJ53" s="22">
        <v>497757</v>
      </c>
      <c r="AK53" s="14"/>
      <c r="AL53" s="22">
        <v>622759</v>
      </c>
      <c r="AM53" s="22">
        <v>647762</v>
      </c>
      <c r="AN53" s="22">
        <v>647765</v>
      </c>
      <c r="AO53" s="22">
        <v>479768</v>
      </c>
      <c r="AQ53" s="22">
        <v>479771</v>
      </c>
      <c r="AR53" s="22">
        <v>479774</v>
      </c>
      <c r="AS53" s="22">
        <v>479777</v>
      </c>
      <c r="AT53" s="22">
        <v>392281</v>
      </c>
      <c r="AU53" s="14"/>
      <c r="AV53" s="22">
        <v>392285</v>
      </c>
      <c r="AW53" s="22">
        <v>392288</v>
      </c>
      <c r="AX53" s="22">
        <v>392293</v>
      </c>
      <c r="AY53" s="22">
        <v>392297</v>
      </c>
      <c r="AZ53" s="14"/>
      <c r="BA53" s="22">
        <v>622667</v>
      </c>
      <c r="BB53" s="22">
        <v>622693</v>
      </c>
      <c r="BC53" s="22">
        <v>575962</v>
      </c>
      <c r="BD53" s="22">
        <v>620814</v>
      </c>
    </row>
    <row r="54" spans="1:56" ht="16.5" customHeight="1">
      <c r="B54" s="15" t="s">
        <v>254</v>
      </c>
      <c r="C54" s="22"/>
      <c r="D54" s="15"/>
      <c r="E54" s="22"/>
      <c r="F54" s="22"/>
      <c r="G54" s="22"/>
      <c r="H54" s="22"/>
      <c r="J54" s="22"/>
      <c r="K54" s="22"/>
      <c r="L54" s="22"/>
      <c r="M54" s="22"/>
      <c r="N54" s="22"/>
      <c r="P54" s="22"/>
      <c r="Q54" s="22"/>
      <c r="R54" s="22"/>
      <c r="S54" s="22"/>
      <c r="T54" s="22"/>
      <c r="U54" s="22"/>
      <c r="W54" s="22"/>
      <c r="X54" s="22"/>
      <c r="Y54" s="22"/>
      <c r="Z54" s="22"/>
      <c r="AB54" s="22"/>
      <c r="AC54" s="22"/>
      <c r="AD54" s="22"/>
      <c r="AE54" s="22"/>
      <c r="AF54" s="14"/>
      <c r="AG54" s="22">
        <v>11204</v>
      </c>
      <c r="AH54" s="22">
        <v>12229</v>
      </c>
      <c r="AI54" s="22">
        <v>12230</v>
      </c>
      <c r="AJ54" s="22">
        <v>10264</v>
      </c>
      <c r="AK54" s="14"/>
      <c r="AL54" s="22">
        <v>9311</v>
      </c>
      <c r="AM54" s="22">
        <v>8575</v>
      </c>
      <c r="AN54" s="22">
        <v>8712</v>
      </c>
      <c r="AO54" s="22">
        <v>6763</v>
      </c>
      <c r="AQ54" s="22">
        <v>6836</v>
      </c>
      <c r="AR54" s="22">
        <v>5305</v>
      </c>
      <c r="AS54" s="22">
        <v>5303</v>
      </c>
      <c r="AT54" s="22">
        <v>4679</v>
      </c>
      <c r="AU54" s="14"/>
      <c r="AV54" s="22">
        <v>6946</v>
      </c>
      <c r="AW54" s="22">
        <v>5754</v>
      </c>
      <c r="AX54" s="22">
        <v>5786</v>
      </c>
      <c r="AY54" s="22">
        <v>3617</v>
      </c>
      <c r="AZ54" s="14"/>
      <c r="BA54" s="22">
        <v>4703</v>
      </c>
      <c r="BB54" s="22">
        <v>4046</v>
      </c>
      <c r="BC54" s="22">
        <v>4069</v>
      </c>
      <c r="BD54" s="22">
        <v>4149</v>
      </c>
    </row>
    <row r="55" spans="1:56" ht="16.5" customHeight="1">
      <c r="A55" s="14"/>
      <c r="B55" s="12" t="s">
        <v>61</v>
      </c>
      <c r="C55" s="22">
        <v>31474</v>
      </c>
      <c r="D55" s="12"/>
      <c r="E55" s="22">
        <v>4135</v>
      </c>
      <c r="F55" s="22">
        <v>-9705</v>
      </c>
      <c r="G55" s="22">
        <v>997978</v>
      </c>
      <c r="H55" s="22">
        <v>997825</v>
      </c>
      <c r="J55" s="22">
        <v>975442</v>
      </c>
      <c r="K55" s="22">
        <v>997932</v>
      </c>
      <c r="L55" s="22">
        <v>997932</v>
      </c>
      <c r="M55" s="22">
        <v>1006588</v>
      </c>
      <c r="N55" s="22">
        <v>1006588</v>
      </c>
      <c r="P55" s="22">
        <v>997932</v>
      </c>
      <c r="Q55" s="22">
        <v>889749</v>
      </c>
      <c r="R55" s="22">
        <v>766155</v>
      </c>
      <c r="S55" s="22">
        <v>766155</v>
      </c>
      <c r="T55" s="22">
        <v>766243</v>
      </c>
      <c r="U55" s="22">
        <v>766243</v>
      </c>
      <c r="W55" s="22">
        <v>766243</v>
      </c>
      <c r="X55" s="22">
        <v>766243</v>
      </c>
      <c r="Y55" s="22">
        <v>766243</v>
      </c>
      <c r="Z55" s="22">
        <v>769075</v>
      </c>
      <c r="AB55" s="22">
        <v>769075</v>
      </c>
      <c r="AC55" s="22">
        <v>769075</v>
      </c>
      <c r="AD55" s="22">
        <v>769075</v>
      </c>
      <c r="AE55" s="22">
        <v>655517</v>
      </c>
      <c r="AF55" s="14"/>
      <c r="AG55" s="22">
        <v>655517</v>
      </c>
      <c r="AH55" s="22">
        <v>655517</v>
      </c>
      <c r="AI55" s="22">
        <v>1104482</v>
      </c>
      <c r="AJ55" s="22">
        <v>1105207</v>
      </c>
      <c r="AK55" s="14"/>
      <c r="AL55" s="22">
        <v>1105207</v>
      </c>
      <c r="AM55" s="22">
        <v>1104244</v>
      </c>
      <c r="AN55" s="22">
        <v>1104243</v>
      </c>
      <c r="AO55" s="22">
        <v>1125849</v>
      </c>
      <c r="AQ55" s="22">
        <v>1125849</v>
      </c>
      <c r="AR55" s="22">
        <v>1125850</v>
      </c>
      <c r="AS55" s="22">
        <v>1125850</v>
      </c>
      <c r="AT55" s="22">
        <v>1003177</v>
      </c>
      <c r="AU55" s="14"/>
      <c r="AV55" s="22">
        <v>1003178</v>
      </c>
      <c r="AW55" s="22">
        <v>1003177</v>
      </c>
      <c r="AX55" s="22">
        <v>1000683</v>
      </c>
      <c r="AY55" s="22">
        <v>994367</v>
      </c>
      <c r="AZ55" s="14"/>
      <c r="BA55" s="22">
        <v>994363</v>
      </c>
      <c r="BB55" s="22">
        <v>995339</v>
      </c>
      <c r="BC55" s="22">
        <v>860799</v>
      </c>
      <c r="BD55" s="22">
        <v>860778</v>
      </c>
    </row>
    <row r="56" spans="1:56" ht="16.5" customHeight="1">
      <c r="A56" s="14"/>
      <c r="B56" s="12" t="s">
        <v>134</v>
      </c>
      <c r="C56" s="22">
        <v>119193</v>
      </c>
      <c r="D56" s="12"/>
      <c r="E56" s="22">
        <v>172089</v>
      </c>
      <c r="F56" s="22">
        <v>165726</v>
      </c>
      <c r="G56" s="22">
        <v>170973</v>
      </c>
      <c r="H56" s="22">
        <v>109859</v>
      </c>
      <c r="J56" s="153">
        <v>161794</v>
      </c>
      <c r="K56" s="22">
        <v>148819</v>
      </c>
      <c r="L56" s="22">
        <v>140849</v>
      </c>
      <c r="M56" s="22">
        <v>119431</v>
      </c>
      <c r="N56" s="22">
        <v>132852</v>
      </c>
      <c r="P56" s="22">
        <v>115271</v>
      </c>
      <c r="Q56" s="22">
        <v>121450</v>
      </c>
      <c r="R56" s="22">
        <v>136493</v>
      </c>
      <c r="S56" s="22">
        <v>149914</v>
      </c>
      <c r="T56" s="22">
        <v>132865</v>
      </c>
      <c r="U56" s="22">
        <v>176657</v>
      </c>
      <c r="W56" s="22">
        <v>132295</v>
      </c>
      <c r="X56" s="22">
        <v>127688</v>
      </c>
      <c r="Y56" s="22">
        <v>142173</v>
      </c>
      <c r="Z56" s="22">
        <v>162692</v>
      </c>
      <c r="AB56" s="22">
        <v>164054</v>
      </c>
      <c r="AC56" s="22">
        <v>167688</v>
      </c>
      <c r="AD56" s="22">
        <v>167150</v>
      </c>
      <c r="AE56" s="22">
        <v>182086</v>
      </c>
      <c r="AF56" s="14"/>
      <c r="AG56" s="22">
        <v>182575</v>
      </c>
      <c r="AH56" s="22">
        <v>187680</v>
      </c>
      <c r="AI56" s="22">
        <v>196794</v>
      </c>
      <c r="AJ56" s="22">
        <v>195402</v>
      </c>
      <c r="AK56" s="14"/>
      <c r="AL56" s="22">
        <v>194569</v>
      </c>
      <c r="AM56" s="22">
        <v>199221</v>
      </c>
      <c r="AN56" s="22">
        <v>203807</v>
      </c>
      <c r="AO56" s="22">
        <v>207369</v>
      </c>
      <c r="AQ56" s="22">
        <v>209350</v>
      </c>
      <c r="AR56" s="22">
        <v>201896</v>
      </c>
      <c r="AS56" s="22">
        <v>198784</v>
      </c>
      <c r="AT56" s="22">
        <v>185302</v>
      </c>
      <c r="AU56" s="14"/>
      <c r="AV56" s="22">
        <v>185404</v>
      </c>
      <c r="AW56" s="22">
        <v>192992</v>
      </c>
      <c r="AX56" s="22">
        <v>190841</v>
      </c>
      <c r="AY56" s="22">
        <v>557402</v>
      </c>
      <c r="AZ56" s="14"/>
      <c r="BA56" s="22">
        <v>601069</v>
      </c>
      <c r="BB56" s="22">
        <v>620845</v>
      </c>
      <c r="BC56" s="22">
        <v>618841</v>
      </c>
      <c r="BD56" s="22">
        <v>622842</v>
      </c>
    </row>
    <row r="57" spans="1:56" ht="16.5" customHeight="1">
      <c r="A57" s="14"/>
      <c r="B57" s="12" t="s">
        <v>132</v>
      </c>
      <c r="C57" s="153">
        <v>0</v>
      </c>
      <c r="D57" s="12"/>
      <c r="E57" s="153">
        <v>0</v>
      </c>
      <c r="F57" s="153">
        <v>0</v>
      </c>
      <c r="G57" s="153">
        <v>0</v>
      </c>
      <c r="H57" s="153">
        <v>0</v>
      </c>
      <c r="J57" s="153">
        <v>0</v>
      </c>
      <c r="K57" s="153">
        <v>0</v>
      </c>
      <c r="L57" s="153">
        <v>0</v>
      </c>
      <c r="M57" s="153">
        <v>0</v>
      </c>
      <c r="N57" s="153">
        <v>0</v>
      </c>
      <c r="P57" s="153">
        <v>0</v>
      </c>
      <c r="Q57" s="153">
        <v>0</v>
      </c>
      <c r="R57" s="153">
        <v>0</v>
      </c>
      <c r="S57" s="153">
        <v>0</v>
      </c>
      <c r="T57" s="153">
        <v>0</v>
      </c>
      <c r="U57" s="153">
        <v>0</v>
      </c>
      <c r="W57" s="153">
        <v>0</v>
      </c>
      <c r="X57" s="153">
        <v>0</v>
      </c>
      <c r="Y57" s="153">
        <v>0</v>
      </c>
      <c r="Z57" s="153">
        <v>0</v>
      </c>
      <c r="AB57" s="153">
        <v>0</v>
      </c>
      <c r="AC57" s="153">
        <v>0</v>
      </c>
      <c r="AD57" s="153">
        <v>0</v>
      </c>
      <c r="AE57" s="153">
        <v>0</v>
      </c>
      <c r="AF57" s="14"/>
      <c r="AG57" s="153">
        <v>0</v>
      </c>
      <c r="AH57" s="153">
        <v>0</v>
      </c>
      <c r="AI57" s="153">
        <v>0</v>
      </c>
      <c r="AJ57" s="153">
        <v>0</v>
      </c>
      <c r="AK57" s="14"/>
      <c r="AL57" s="153">
        <v>0</v>
      </c>
      <c r="AM57" s="153">
        <v>0</v>
      </c>
      <c r="AN57" s="153">
        <v>0</v>
      </c>
      <c r="AO57" s="153">
        <v>0</v>
      </c>
      <c r="AQ57" s="153">
        <v>0</v>
      </c>
      <c r="AR57" s="153">
        <v>0</v>
      </c>
      <c r="AS57" s="153">
        <v>0</v>
      </c>
      <c r="AT57" s="153">
        <v>0</v>
      </c>
      <c r="AU57" s="14"/>
      <c r="AV57" s="153">
        <v>0</v>
      </c>
      <c r="AW57" s="153">
        <v>0</v>
      </c>
      <c r="AX57" s="153"/>
      <c r="AY57" s="153">
        <v>0</v>
      </c>
      <c r="AZ57" s="14"/>
      <c r="BA57" s="153"/>
      <c r="BB57" s="153">
        <v>0</v>
      </c>
      <c r="BC57" s="153">
        <v>0</v>
      </c>
      <c r="BD57" s="153">
        <v>0</v>
      </c>
    </row>
    <row r="58" spans="1:56" ht="16.5" customHeight="1">
      <c r="B58" s="15" t="s">
        <v>42</v>
      </c>
      <c r="C58" s="22">
        <v>8285</v>
      </c>
      <c r="D58" s="15"/>
      <c r="E58" s="22">
        <v>6890</v>
      </c>
      <c r="F58" s="22">
        <v>6890</v>
      </c>
      <c r="G58" s="22">
        <v>6890</v>
      </c>
      <c r="H58" s="22">
        <v>8406</v>
      </c>
      <c r="J58" s="22">
        <v>6890</v>
      </c>
      <c r="K58" s="22">
        <v>6890</v>
      </c>
      <c r="L58" s="22">
        <v>6891</v>
      </c>
      <c r="M58" s="153">
        <v>0</v>
      </c>
      <c r="N58" s="153">
        <v>0</v>
      </c>
      <c r="P58" s="22">
        <v>8656</v>
      </c>
      <c r="Q58" s="22">
        <v>8656</v>
      </c>
      <c r="R58" s="153">
        <v>0</v>
      </c>
      <c r="S58" s="153">
        <v>0</v>
      </c>
      <c r="T58" s="153">
        <v>0</v>
      </c>
      <c r="U58" s="153">
        <v>0</v>
      </c>
      <c r="W58" s="153">
        <v>0</v>
      </c>
      <c r="X58" s="153">
        <v>0</v>
      </c>
      <c r="Y58" s="153">
        <v>0</v>
      </c>
      <c r="Z58" s="153">
        <v>0</v>
      </c>
      <c r="AB58" s="153">
        <v>0</v>
      </c>
      <c r="AC58" s="153">
        <v>0</v>
      </c>
      <c r="AD58" s="153">
        <v>0</v>
      </c>
      <c r="AE58" s="153">
        <v>0</v>
      </c>
      <c r="AF58" s="14"/>
      <c r="AG58" s="153">
        <v>0</v>
      </c>
      <c r="AH58" s="153">
        <v>0</v>
      </c>
      <c r="AI58" s="153">
        <v>0</v>
      </c>
      <c r="AJ58" s="153">
        <v>0</v>
      </c>
      <c r="AK58" s="14"/>
      <c r="AL58" s="153">
        <v>0</v>
      </c>
      <c r="AM58" s="153">
        <v>0</v>
      </c>
      <c r="AN58" s="153">
        <v>0</v>
      </c>
      <c r="AO58" s="153">
        <v>0</v>
      </c>
      <c r="AQ58" s="153">
        <v>0</v>
      </c>
      <c r="AR58" s="153">
        <v>0</v>
      </c>
      <c r="AS58" s="153">
        <v>0</v>
      </c>
      <c r="AT58" s="153">
        <v>0</v>
      </c>
      <c r="AU58" s="14"/>
      <c r="AV58" s="153">
        <v>0</v>
      </c>
      <c r="AW58" s="153">
        <v>0</v>
      </c>
      <c r="AX58" s="153"/>
      <c r="AY58" s="153"/>
      <c r="AZ58" s="14"/>
      <c r="BA58" s="153"/>
      <c r="BB58" s="153"/>
      <c r="BC58" s="153"/>
      <c r="BD58" s="153">
        <v>0</v>
      </c>
    </row>
    <row r="59" spans="1:56" ht="16.5" customHeight="1">
      <c r="B59" s="218" t="s">
        <v>191</v>
      </c>
      <c r="C59" s="225">
        <v>16480</v>
      </c>
      <c r="D59" s="227"/>
      <c r="E59" s="195">
        <v>16695</v>
      </c>
      <c r="F59" s="225">
        <v>17131</v>
      </c>
      <c r="G59" s="225">
        <v>18081</v>
      </c>
      <c r="H59" s="225">
        <v>23744</v>
      </c>
      <c r="I59" s="226"/>
      <c r="J59" s="195">
        <v>23804</v>
      </c>
      <c r="K59" s="225">
        <v>24732</v>
      </c>
      <c r="L59" s="225">
        <v>26552</v>
      </c>
      <c r="M59" s="225">
        <v>6819</v>
      </c>
      <c r="N59" s="225">
        <v>6819</v>
      </c>
      <c r="O59" s="226"/>
      <c r="P59" s="225">
        <v>6819</v>
      </c>
      <c r="Q59" s="195">
        <f>1600+6819</f>
        <v>8419</v>
      </c>
      <c r="R59" s="195">
        <f>2840+6819</f>
        <v>9659</v>
      </c>
      <c r="S59" s="195">
        <v>9659</v>
      </c>
      <c r="T59" s="195">
        <v>13075</v>
      </c>
      <c r="U59" s="195">
        <v>13075</v>
      </c>
      <c r="W59" s="195">
        <v>13075</v>
      </c>
      <c r="X59" s="195">
        <v>13075</v>
      </c>
      <c r="Y59" s="195">
        <v>13075</v>
      </c>
      <c r="Z59" s="195">
        <v>11908</v>
      </c>
      <c r="AB59" s="195">
        <v>11735</v>
      </c>
      <c r="AC59" s="195">
        <v>11062</v>
      </c>
      <c r="AD59" s="195">
        <v>9389</v>
      </c>
      <c r="AE59" s="195">
        <v>1865</v>
      </c>
      <c r="AF59" s="14"/>
      <c r="AG59" s="195">
        <v>1691</v>
      </c>
      <c r="AH59" s="195">
        <v>0</v>
      </c>
      <c r="AI59" s="195"/>
      <c r="AJ59" s="195">
        <v>2785</v>
      </c>
      <c r="AK59" s="14"/>
      <c r="AL59" s="195">
        <v>2785</v>
      </c>
      <c r="AM59" s="195">
        <v>2785</v>
      </c>
      <c r="AN59" s="195">
        <v>2785</v>
      </c>
      <c r="AO59" s="195">
        <v>2760</v>
      </c>
      <c r="AQ59" s="195">
        <v>2760</v>
      </c>
      <c r="AR59" s="195">
        <v>2760</v>
      </c>
      <c r="AS59" s="195">
        <v>2760</v>
      </c>
      <c r="AT59" s="195">
        <v>2122</v>
      </c>
      <c r="AU59" s="14"/>
      <c r="AV59" s="195">
        <v>2122</v>
      </c>
      <c r="AW59" s="195">
        <v>2122</v>
      </c>
      <c r="AX59" s="195">
        <v>2122</v>
      </c>
      <c r="AY59" s="195">
        <v>1647</v>
      </c>
      <c r="AZ59" s="14"/>
      <c r="BA59" s="195">
        <v>1647</v>
      </c>
      <c r="BB59" s="195">
        <v>1647</v>
      </c>
      <c r="BC59" s="195">
        <v>1647</v>
      </c>
      <c r="BD59" s="195">
        <v>2040</v>
      </c>
    </row>
    <row r="60" spans="1:56" ht="16.5" customHeight="1">
      <c r="B60" s="227" t="s">
        <v>133</v>
      </c>
      <c r="C60" s="195">
        <v>0</v>
      </c>
      <c r="D60" s="227"/>
      <c r="E60" s="195">
        <v>0</v>
      </c>
      <c r="F60" s="195">
        <v>0</v>
      </c>
      <c r="G60" s="195">
        <v>0</v>
      </c>
      <c r="H60" s="195">
        <v>0</v>
      </c>
      <c r="I60" s="226"/>
      <c r="J60" s="195">
        <v>0</v>
      </c>
      <c r="K60" s="195">
        <v>0</v>
      </c>
      <c r="L60" s="195">
        <v>0</v>
      </c>
      <c r="M60" s="195">
        <v>0</v>
      </c>
      <c r="N60" s="195">
        <v>0</v>
      </c>
      <c r="O60" s="226"/>
      <c r="P60" s="195">
        <v>0</v>
      </c>
      <c r="Q60" s="195">
        <v>0</v>
      </c>
      <c r="R60" s="195">
        <v>0</v>
      </c>
      <c r="S60" s="195">
        <v>0</v>
      </c>
      <c r="T60" s="195">
        <v>0</v>
      </c>
      <c r="U60" s="195">
        <v>0</v>
      </c>
      <c r="W60" s="195">
        <v>0</v>
      </c>
      <c r="X60" s="195">
        <v>0</v>
      </c>
      <c r="Y60" s="195">
        <v>0</v>
      </c>
      <c r="Z60" s="195">
        <v>0</v>
      </c>
      <c r="AB60" s="195">
        <v>0</v>
      </c>
      <c r="AC60" s="195">
        <v>0</v>
      </c>
      <c r="AD60" s="195">
        <v>0</v>
      </c>
      <c r="AE60" s="195">
        <v>0</v>
      </c>
      <c r="AF60" s="14"/>
      <c r="AG60" s="195">
        <v>0</v>
      </c>
      <c r="AH60" s="195">
        <v>0</v>
      </c>
      <c r="AI60" s="195">
        <v>0</v>
      </c>
      <c r="AJ60" s="195">
        <v>0</v>
      </c>
      <c r="AK60" s="14"/>
      <c r="AL60" s="195">
        <v>0</v>
      </c>
      <c r="AM60" s="195">
        <v>0</v>
      </c>
      <c r="AN60" s="195">
        <v>0</v>
      </c>
      <c r="AO60" s="195">
        <v>0</v>
      </c>
      <c r="AQ60" s="195">
        <v>0</v>
      </c>
      <c r="AR60" s="195">
        <v>0</v>
      </c>
      <c r="AS60" s="195">
        <v>0</v>
      </c>
      <c r="AT60" s="195">
        <v>0</v>
      </c>
      <c r="AU60" s="14"/>
      <c r="AV60" s="195"/>
      <c r="AW60" s="195"/>
      <c r="AX60" s="195"/>
      <c r="AY60" s="195"/>
      <c r="AZ60" s="14"/>
      <c r="BA60" s="195"/>
      <c r="BB60" s="195"/>
      <c r="BC60" s="195"/>
      <c r="BD60" s="195"/>
    </row>
    <row r="61" spans="1:56" ht="16.5" customHeight="1">
      <c r="B61" s="15" t="s">
        <v>136</v>
      </c>
      <c r="C61" s="153">
        <v>0</v>
      </c>
      <c r="D61" s="15"/>
      <c r="E61" s="153">
        <v>0</v>
      </c>
      <c r="F61" s="153">
        <v>0</v>
      </c>
      <c r="G61" s="153">
        <v>0</v>
      </c>
      <c r="H61" s="153">
        <v>0</v>
      </c>
      <c r="J61" s="153">
        <v>0</v>
      </c>
      <c r="K61" s="153">
        <v>0</v>
      </c>
      <c r="L61" s="153">
        <v>0</v>
      </c>
      <c r="M61" s="153">
        <v>0</v>
      </c>
      <c r="N61" s="153">
        <v>0</v>
      </c>
      <c r="P61" s="153">
        <v>0</v>
      </c>
      <c r="Q61" s="153">
        <v>0</v>
      </c>
      <c r="R61" s="153">
        <v>0</v>
      </c>
      <c r="S61" s="153">
        <v>0</v>
      </c>
      <c r="T61" s="153">
        <v>0</v>
      </c>
      <c r="U61" s="153">
        <v>0</v>
      </c>
      <c r="W61" s="153">
        <v>0</v>
      </c>
      <c r="X61" s="153">
        <v>0</v>
      </c>
      <c r="Y61" s="153">
        <v>0</v>
      </c>
      <c r="Z61" s="153">
        <v>0</v>
      </c>
      <c r="AB61" s="153">
        <v>0</v>
      </c>
      <c r="AC61" s="153">
        <v>0</v>
      </c>
      <c r="AD61" s="153">
        <v>0</v>
      </c>
      <c r="AE61" s="153">
        <v>85</v>
      </c>
      <c r="AF61" s="14"/>
      <c r="AG61" s="153">
        <v>74</v>
      </c>
      <c r="AH61" s="153">
        <v>0</v>
      </c>
      <c r="AI61" s="153">
        <v>0</v>
      </c>
      <c r="AJ61" s="153">
        <v>0</v>
      </c>
      <c r="AK61" s="14"/>
      <c r="AL61" s="153">
        <v>0</v>
      </c>
      <c r="AM61" s="153">
        <v>0</v>
      </c>
      <c r="AN61" s="153">
        <v>0</v>
      </c>
      <c r="AO61" s="153">
        <v>0</v>
      </c>
      <c r="AQ61" s="153">
        <v>0</v>
      </c>
      <c r="AR61" s="153">
        <v>0</v>
      </c>
      <c r="AS61" s="153">
        <v>0</v>
      </c>
      <c r="AT61" s="153">
        <v>921</v>
      </c>
      <c r="AU61" s="14"/>
      <c r="AV61" s="153">
        <v>327</v>
      </c>
      <c r="AW61" s="153">
        <v>0</v>
      </c>
      <c r="AX61" s="153">
        <v>598</v>
      </c>
      <c r="AY61" s="153">
        <v>0</v>
      </c>
      <c r="AZ61" s="14"/>
      <c r="BA61" s="153"/>
      <c r="BB61" s="153">
        <v>2290</v>
      </c>
      <c r="BC61" s="153">
        <v>858</v>
      </c>
      <c r="BD61" s="153">
        <v>1805</v>
      </c>
    </row>
    <row r="62" spans="1:56" ht="16.5" customHeight="1">
      <c r="A62" s="14"/>
      <c r="B62" s="13" t="s">
        <v>266</v>
      </c>
      <c r="C62" s="153">
        <v>0</v>
      </c>
      <c r="D62" s="15"/>
      <c r="E62" s="153">
        <v>0</v>
      </c>
      <c r="F62" s="22">
        <f>53595-1</f>
        <v>53594</v>
      </c>
      <c r="G62" s="22">
        <v>-53594</v>
      </c>
      <c r="H62" s="153">
        <v>0</v>
      </c>
      <c r="J62" s="153">
        <v>0</v>
      </c>
      <c r="K62" s="153">
        <v>0</v>
      </c>
      <c r="L62" s="153">
        <v>0</v>
      </c>
      <c r="M62" s="153">
        <v>0</v>
      </c>
      <c r="N62" s="153">
        <v>0</v>
      </c>
      <c r="P62" s="153">
        <v>0</v>
      </c>
      <c r="Q62" s="153">
        <v>0</v>
      </c>
      <c r="R62" s="153">
        <v>0</v>
      </c>
      <c r="S62" s="153">
        <v>0</v>
      </c>
      <c r="T62" s="153">
        <v>0</v>
      </c>
      <c r="U62" s="153">
        <v>0</v>
      </c>
      <c r="W62" s="153">
        <v>0</v>
      </c>
      <c r="X62" s="153">
        <v>0</v>
      </c>
      <c r="Y62" s="153">
        <v>0</v>
      </c>
      <c r="Z62" s="153">
        <v>0</v>
      </c>
      <c r="AB62" s="153">
        <v>0</v>
      </c>
      <c r="AC62" s="153">
        <v>0</v>
      </c>
      <c r="AD62" s="153">
        <v>0</v>
      </c>
      <c r="AE62" s="153">
        <v>0</v>
      </c>
      <c r="AF62" s="14"/>
      <c r="AG62" s="153">
        <v>0</v>
      </c>
      <c r="AH62" s="153">
        <v>0</v>
      </c>
      <c r="AI62" s="153">
        <v>0</v>
      </c>
      <c r="AJ62" s="153">
        <v>0</v>
      </c>
      <c r="AK62" s="14"/>
      <c r="AL62" s="153">
        <v>0</v>
      </c>
      <c r="AM62" s="153">
        <v>0</v>
      </c>
      <c r="AN62" s="153">
        <v>0</v>
      </c>
      <c r="AO62" s="153">
        <v>0</v>
      </c>
      <c r="AQ62" s="153">
        <v>0</v>
      </c>
      <c r="AR62" s="153">
        <v>0</v>
      </c>
      <c r="AS62" s="153">
        <v>0</v>
      </c>
      <c r="AT62" s="153">
        <v>0</v>
      </c>
      <c r="AU62" s="14"/>
      <c r="AV62" s="153">
        <v>7949</v>
      </c>
      <c r="AW62" s="153">
        <v>0</v>
      </c>
      <c r="AX62" s="153">
        <v>0</v>
      </c>
      <c r="AY62" s="153">
        <v>0</v>
      </c>
      <c r="AZ62" s="14"/>
      <c r="BA62" s="153"/>
      <c r="BB62" s="153">
        <v>0</v>
      </c>
      <c r="BC62" s="153">
        <v>0</v>
      </c>
      <c r="BD62" s="153"/>
    </row>
    <row r="63" spans="1:56" ht="12" customHeight="1">
      <c r="B63" s="15"/>
      <c r="C63" s="22"/>
      <c r="D63" s="15"/>
      <c r="E63" s="22"/>
      <c r="F63" s="22"/>
      <c r="G63" s="22"/>
      <c r="H63" s="22"/>
      <c r="J63" s="22"/>
      <c r="K63" s="22"/>
      <c r="L63" s="22"/>
      <c r="M63" s="22"/>
      <c r="N63" s="22"/>
      <c r="P63" s="22"/>
      <c r="Q63" s="22"/>
      <c r="R63" s="22"/>
      <c r="S63" s="22"/>
      <c r="T63" s="22"/>
      <c r="U63" s="22"/>
      <c r="W63" s="22"/>
      <c r="AB63" s="22"/>
      <c r="AF63" s="14"/>
      <c r="AG63" s="22"/>
      <c r="AK63" s="14"/>
      <c r="AL63" s="22"/>
      <c r="AQ63" s="22"/>
      <c r="AU63" s="14"/>
      <c r="AZ63" s="14"/>
      <c r="BA63" s="22"/>
      <c r="BB63" s="22"/>
      <c r="BD63" s="14"/>
    </row>
    <row r="64" spans="1:56" ht="13">
      <c r="B64" s="24" t="s">
        <v>57</v>
      </c>
      <c r="C64" s="25">
        <f>SUM(C53:C63)</f>
        <v>594384</v>
      </c>
      <c r="D64" s="24"/>
      <c r="E64" s="25">
        <f>SUM(E53:E63)</f>
        <v>618762</v>
      </c>
      <c r="F64" s="25">
        <f>SUM(F53:F63)</f>
        <v>635090</v>
      </c>
      <c r="G64" s="25">
        <f>SUM(G53:G63)</f>
        <v>1164283</v>
      </c>
      <c r="H64" s="25">
        <f>SUM(H53:H63)</f>
        <v>1139857</v>
      </c>
      <c r="I64" s="26"/>
      <c r="J64" s="25">
        <f>SUM(J53:J63)</f>
        <v>1167954</v>
      </c>
      <c r="K64" s="25">
        <f>SUM(K53:K63)</f>
        <v>1728398</v>
      </c>
      <c r="L64" s="25">
        <f>SUM(L53:L63)</f>
        <v>1723411</v>
      </c>
      <c r="M64" s="25">
        <f>SUM(M53:M63)</f>
        <v>1682866</v>
      </c>
      <c r="N64" s="25">
        <f>SUM(N53:N63)</f>
        <v>1696287</v>
      </c>
      <c r="P64" s="25">
        <f t="shared" ref="P64:U64" si="4">SUM(P53:P63)</f>
        <v>1678707</v>
      </c>
      <c r="Q64" s="25">
        <f t="shared" si="4"/>
        <v>1578304</v>
      </c>
      <c r="R64" s="25">
        <f t="shared" si="4"/>
        <v>1462338</v>
      </c>
      <c r="S64" s="25">
        <f t="shared" si="4"/>
        <v>1475759</v>
      </c>
      <c r="T64" s="25">
        <f t="shared" si="4"/>
        <v>1462216</v>
      </c>
      <c r="U64" s="25">
        <f t="shared" si="4"/>
        <v>1506008</v>
      </c>
      <c r="W64" s="25">
        <f>SUM(W53:W63)</f>
        <v>1566648</v>
      </c>
      <c r="X64" s="25">
        <f>SUM(X53:X63)</f>
        <v>1772042</v>
      </c>
      <c r="Y64" s="25">
        <f>SUM(Y53:Y63)</f>
        <v>1379529</v>
      </c>
      <c r="Z64" s="25">
        <f>SUM(Z53:Z63)</f>
        <v>1401714</v>
      </c>
      <c r="AB64" s="25">
        <f>SUM(AB53:AB63)</f>
        <v>1682904</v>
      </c>
      <c r="AC64" s="25">
        <f>SUM(AC53:AC63)</f>
        <v>1685868</v>
      </c>
      <c r="AD64" s="25">
        <f>SUM(AD53:AD63)</f>
        <v>1683659</v>
      </c>
      <c r="AE64" s="25">
        <f>SUM(AE53:AE63)</f>
        <v>1577600</v>
      </c>
      <c r="AF64" s="14"/>
      <c r="AG64" s="25">
        <f>SUM(AG53:AG63)</f>
        <v>1509110</v>
      </c>
      <c r="AH64" s="25">
        <f>SUM(AH53:AH63)</f>
        <v>1473978</v>
      </c>
      <c r="AI64" s="25">
        <f>SUM(AI53:AI63)</f>
        <v>1801260</v>
      </c>
      <c r="AJ64" s="25">
        <f>SUM(AJ53:AJ63)</f>
        <v>1811415</v>
      </c>
      <c r="AK64" s="14"/>
      <c r="AL64" s="25">
        <f>SUM(AL53:AL63)</f>
        <v>1934631</v>
      </c>
      <c r="AM64" s="25">
        <f>SUM(AM53:AM63)</f>
        <v>1962587</v>
      </c>
      <c r="AN64" s="25">
        <f>SUM(AN53:AN63)</f>
        <v>1967312</v>
      </c>
      <c r="AO64" s="25">
        <f>SUM(AO53:AO63)</f>
        <v>1822509</v>
      </c>
      <c r="AQ64" s="25">
        <f>SUM(AQ53:AQ63)</f>
        <v>1824566</v>
      </c>
      <c r="AR64" s="25">
        <f>SUM(AR53:AR63)</f>
        <v>1815585</v>
      </c>
      <c r="AS64" s="25">
        <f>SUM(AS53:AS63)</f>
        <v>1812474</v>
      </c>
      <c r="AT64" s="25">
        <f>SUM(AT53:AT63)</f>
        <v>1588482</v>
      </c>
      <c r="AU64" s="14"/>
      <c r="AV64" s="25">
        <f>SUM(AV53:AV63)</f>
        <v>1598211</v>
      </c>
      <c r="AW64" s="25">
        <f>SUM(AW53:AW63)</f>
        <v>1596333</v>
      </c>
      <c r="AX64" s="25">
        <v>1592323</v>
      </c>
      <c r="AY64" s="25">
        <v>1949330</v>
      </c>
      <c r="AZ64" s="14"/>
      <c r="BA64" s="25">
        <v>2224449</v>
      </c>
      <c r="BB64" s="25">
        <v>2246860</v>
      </c>
      <c r="BC64" s="25">
        <v>2062176</v>
      </c>
      <c r="BD64" s="25">
        <v>2112428</v>
      </c>
    </row>
    <row r="65" spans="2:56">
      <c r="B65" s="15"/>
      <c r="C65" s="22"/>
      <c r="D65" s="15"/>
      <c r="E65" s="22"/>
      <c r="F65" s="22"/>
      <c r="G65" s="22"/>
      <c r="H65" s="22"/>
      <c r="J65" s="22"/>
      <c r="K65" s="22"/>
      <c r="L65" s="22"/>
      <c r="M65" s="22"/>
      <c r="N65" s="22"/>
      <c r="P65" s="22"/>
      <c r="Q65" s="22"/>
      <c r="R65" s="22"/>
      <c r="S65" s="22"/>
      <c r="T65" s="22"/>
      <c r="U65" s="22"/>
      <c r="W65" s="22"/>
      <c r="AB65" s="22"/>
      <c r="AF65" s="14"/>
      <c r="AG65" s="22"/>
      <c r="AK65" s="14"/>
      <c r="AL65" s="22"/>
      <c r="AQ65" s="22"/>
      <c r="AU65" s="14"/>
      <c r="AZ65" s="14"/>
      <c r="BA65" s="22"/>
      <c r="BB65" s="22"/>
      <c r="BC65" s="22"/>
      <c r="BD65" s="10"/>
    </row>
    <row r="66" spans="2:56" ht="20.25" customHeight="1">
      <c r="B66" s="219" t="s">
        <v>58</v>
      </c>
      <c r="C66" s="220">
        <f>+C51+C64</f>
        <v>1204472</v>
      </c>
      <c r="D66" s="24"/>
      <c r="E66" s="220">
        <f>+E51+E64</f>
        <v>1548214</v>
      </c>
      <c r="F66" s="220">
        <f>+F51+F64</f>
        <v>1332019</v>
      </c>
      <c r="G66" s="220">
        <f>+G51+G64</f>
        <v>1643137</v>
      </c>
      <c r="H66" s="220">
        <f>+H51+H64</f>
        <v>1345985</v>
      </c>
      <c r="J66" s="220">
        <f>+J51+J64</f>
        <v>1661133</v>
      </c>
      <c r="K66" s="220">
        <f>+K51+K64</f>
        <v>2224002</v>
      </c>
      <c r="L66" s="220">
        <f>+L51+L64</f>
        <v>2132564</v>
      </c>
      <c r="M66" s="220">
        <f>+M51+M64</f>
        <v>2031213</v>
      </c>
      <c r="N66" s="220">
        <f>+N51+N64</f>
        <v>2044634</v>
      </c>
      <c r="P66" s="220">
        <f t="shared" ref="P66:U66" si="5">+P51+P64</f>
        <v>2075906</v>
      </c>
      <c r="Q66" s="220">
        <f t="shared" si="5"/>
        <v>1972580</v>
      </c>
      <c r="R66" s="220">
        <f t="shared" si="5"/>
        <v>1829234</v>
      </c>
      <c r="S66" s="220">
        <f t="shared" si="5"/>
        <v>1842655</v>
      </c>
      <c r="T66" s="220">
        <f t="shared" si="5"/>
        <v>1765301</v>
      </c>
      <c r="U66" s="220">
        <f t="shared" si="5"/>
        <v>1853573</v>
      </c>
      <c r="W66" s="220">
        <f>+W51+W64</f>
        <v>2346713</v>
      </c>
      <c r="X66" s="220">
        <f>+X51+X64</f>
        <v>2220637</v>
      </c>
      <c r="Y66" s="220">
        <f>+Y51+Y64</f>
        <v>2003900</v>
      </c>
      <c r="Z66" s="220">
        <f>+Z51+Z64</f>
        <v>1978407</v>
      </c>
      <c r="AB66" s="220">
        <f>+AB51+AB64</f>
        <v>2172480</v>
      </c>
      <c r="AC66" s="220">
        <f>+AC51+AC64</f>
        <v>2259228</v>
      </c>
      <c r="AD66" s="220">
        <f>+AD51+AD64</f>
        <v>2159940</v>
      </c>
      <c r="AE66" s="220">
        <f>+AE51+AE64</f>
        <v>1970469</v>
      </c>
      <c r="AF66" s="14"/>
      <c r="AG66" s="220">
        <f>+AG51+AG64</f>
        <v>2122691</v>
      </c>
      <c r="AH66" s="220">
        <f>+AH51+AH64</f>
        <v>1993561</v>
      </c>
      <c r="AI66" s="220">
        <f>+AI51+AI64</f>
        <v>2022684</v>
      </c>
      <c r="AJ66" s="220">
        <f>+AJ51+AJ64</f>
        <v>1987815</v>
      </c>
      <c r="AK66" s="14"/>
      <c r="AL66" s="220">
        <f>+AL51+AL64</f>
        <v>2390015</v>
      </c>
      <c r="AM66" s="220">
        <f>+AM51+AM64</f>
        <v>2341613</v>
      </c>
      <c r="AN66" s="220">
        <f>+AN51+AN64</f>
        <v>2236703</v>
      </c>
      <c r="AO66" s="220">
        <f>+AO51+AO64</f>
        <v>1998698</v>
      </c>
      <c r="AQ66" s="220">
        <f>+AQ51+AQ64</f>
        <v>2248886</v>
      </c>
      <c r="AR66" s="220">
        <f>+AR51+AR64</f>
        <v>2062740</v>
      </c>
      <c r="AS66" s="220">
        <f>+AS51+AS64</f>
        <v>1996682</v>
      </c>
      <c r="AT66" s="220">
        <f>+AT51+AT64</f>
        <v>1842461</v>
      </c>
      <c r="AU66" s="14"/>
      <c r="AV66" s="220">
        <f>+AV51+AV64</f>
        <v>2284563</v>
      </c>
      <c r="AW66" s="220">
        <f>+AW51+AW64</f>
        <v>2172476</v>
      </c>
      <c r="AX66" s="220">
        <v>2030221</v>
      </c>
      <c r="AY66" s="220">
        <v>2318065</v>
      </c>
      <c r="AZ66" s="14"/>
      <c r="BA66" s="220">
        <v>2990929</v>
      </c>
      <c r="BB66" s="220">
        <v>2877838</v>
      </c>
      <c r="BC66" s="220">
        <v>2706380</v>
      </c>
      <c r="BD66" s="220">
        <v>2627185</v>
      </c>
    </row>
    <row r="67" spans="2:56" ht="20.25" customHeight="1">
      <c r="B67" s="221" t="s">
        <v>48</v>
      </c>
      <c r="C67" s="222">
        <v>625.10548413715799</v>
      </c>
      <c r="D67" s="223"/>
      <c r="E67" s="222">
        <v>787.76687765860015</v>
      </c>
      <c r="F67" s="222">
        <v>708.07254982218694</v>
      </c>
      <c r="G67" s="222">
        <v>810.03362123363308</v>
      </c>
      <c r="H67" s="222">
        <v>562.59456793426011</v>
      </c>
      <c r="J67" s="222">
        <v>644.83725082975866</v>
      </c>
      <c r="K67" s="222">
        <v>860.31232713501549</v>
      </c>
      <c r="L67" s="222">
        <v>683.08936110239142</v>
      </c>
      <c r="M67" s="222">
        <v>644.93803719355958</v>
      </c>
      <c r="N67" s="222">
        <v>649.19938910356348</v>
      </c>
      <c r="P67" s="222">
        <v>686.85162208215468</v>
      </c>
      <c r="Q67" s="222">
        <v>676.43296812578228</v>
      </c>
      <c r="R67" s="222">
        <v>635.16172155766594</v>
      </c>
      <c r="S67" s="222">
        <v>640</v>
      </c>
      <c r="T67" s="222">
        <f>+T66/3000.71</f>
        <v>588.29443698324724</v>
      </c>
      <c r="U67" s="222">
        <v>617.71147495092828</v>
      </c>
      <c r="W67" s="222">
        <v>814.7630058606228</v>
      </c>
      <c r="X67" s="222">
        <v>731</v>
      </c>
      <c r="Y67" s="222">
        <v>682</v>
      </c>
      <c r="Z67" s="222">
        <f>+Z66/2984</f>
        <v>663.00502680965144</v>
      </c>
      <c r="AB67" s="222">
        <f>+AB66/2780.47</f>
        <v>781.33552960470718</v>
      </c>
      <c r="AC67" s="222">
        <f>+AC66/2930.8</f>
        <v>770.85710386242658</v>
      </c>
      <c r="AD67" s="222">
        <f>+AD66/2972.18</f>
        <v>726.71910853313057</v>
      </c>
      <c r="AE67" s="222">
        <f>+AE66/3249.75</f>
        <v>606.34479575351952</v>
      </c>
      <c r="AF67" s="14"/>
      <c r="AG67" s="222">
        <f>+AG66/3174.79</f>
        <v>668.60831740052095</v>
      </c>
      <c r="AH67" s="222">
        <f>+AH66/3205.67</f>
        <v>621.88590840604297</v>
      </c>
      <c r="AI67" s="222">
        <f>+AI66/3462.01</f>
        <v>584.25134531673791</v>
      </c>
      <c r="AJ67" s="222">
        <f>+AJ66/3277.14</f>
        <v>606.57005803841162</v>
      </c>
      <c r="AK67" s="14"/>
      <c r="AL67" s="222">
        <f>+AL66/4064.81</f>
        <v>587.97705181792014</v>
      </c>
      <c r="AM67" s="222">
        <f>+AM66/3758.91</f>
        <v>622.95000412353579</v>
      </c>
      <c r="AN67" s="222">
        <f>+AN66/3878.94</f>
        <v>576.62737758253547</v>
      </c>
      <c r="AO67" s="222">
        <f>+AO66/3432.5</f>
        <v>582.28638018936635</v>
      </c>
      <c r="AQ67" s="222">
        <f>+AQ66/3736.91</f>
        <v>601.80362920166669</v>
      </c>
      <c r="AR67" s="222">
        <f>+AR66/3756.67</f>
        <v>549.08735662168885</v>
      </c>
      <c r="AS67" s="222">
        <f>+AS66/3834.68</f>
        <v>520.69064433016581</v>
      </c>
      <c r="AT67" s="222">
        <f>+AT66/3981.16</f>
        <v>462.79501451838161</v>
      </c>
      <c r="AU67" s="14"/>
      <c r="AV67" s="222">
        <f>+AV66/3748.15</f>
        <v>609.51749529768017</v>
      </c>
      <c r="AW67" s="222">
        <f>+AW66/4127.47</f>
        <v>526.34567907216763</v>
      </c>
      <c r="AX67" s="222">
        <v>447.96770570622255</v>
      </c>
      <c r="AY67" s="222">
        <v>481.90615774811857</v>
      </c>
      <c r="AZ67" s="14"/>
      <c r="BA67" s="222">
        <v>646.37010591558294</v>
      </c>
      <c r="BB67" s="222">
        <v>686.62508827852116</v>
      </c>
      <c r="BC67" s="222">
        <v>667.62215819387427</v>
      </c>
      <c r="BD67" s="222">
        <v>687.37588466922193</v>
      </c>
    </row>
    <row r="68" spans="2:56" ht="12" customHeight="1">
      <c r="B68" s="210"/>
      <c r="C68" s="211"/>
      <c r="D68" s="210"/>
      <c r="E68" s="211"/>
      <c r="F68" s="211"/>
      <c r="G68" s="211"/>
      <c r="H68" s="211"/>
      <c r="J68" s="211"/>
      <c r="K68" s="211"/>
      <c r="L68" s="211"/>
      <c r="M68" s="211"/>
      <c r="N68" s="211"/>
      <c r="P68" s="211"/>
      <c r="Q68" s="211"/>
      <c r="R68" s="211"/>
      <c r="S68" s="211"/>
      <c r="T68" s="211"/>
      <c r="U68" s="211"/>
      <c r="W68" s="211"/>
      <c r="AB68" s="211"/>
      <c r="AF68" s="14"/>
      <c r="AG68" s="211"/>
      <c r="AK68" s="14"/>
      <c r="AL68" s="211"/>
      <c r="AQ68" s="211"/>
      <c r="AU68" s="14"/>
      <c r="AZ68" s="14"/>
      <c r="BA68" s="211"/>
      <c r="BB68" s="211"/>
      <c r="BC68" s="211"/>
      <c r="BD68" s="211"/>
    </row>
    <row r="69" spans="2:56" ht="20.25" customHeight="1">
      <c r="B69" s="219" t="s">
        <v>52</v>
      </c>
      <c r="C69" s="220">
        <f>SUM(C74:C81)</f>
        <v>13138349</v>
      </c>
      <c r="D69" s="24"/>
      <c r="E69" s="220">
        <f>SUM(E74:E81)</f>
        <v>13306293</v>
      </c>
      <c r="F69" s="220">
        <f>SUM(F74:F81)</f>
        <v>13542505</v>
      </c>
      <c r="G69" s="220">
        <f>SUM(G74:G81)</f>
        <v>13681450</v>
      </c>
      <c r="H69" s="220">
        <f>SUM(H74:H81)</f>
        <v>13866451</v>
      </c>
      <c r="J69" s="220">
        <f>SUM(J74:J81)</f>
        <v>13291031</v>
      </c>
      <c r="K69" s="220">
        <f>SUM(K74:K81)</f>
        <v>13747522</v>
      </c>
      <c r="L69" s="220">
        <f>SUM(L74:L81)</f>
        <v>14333589</v>
      </c>
      <c r="M69" s="220">
        <f>SUM(M74:M81)</f>
        <v>14138212</v>
      </c>
      <c r="N69" s="220">
        <f>SUM(N74:N81)</f>
        <v>14283203</v>
      </c>
      <c r="P69" s="220">
        <f t="shared" ref="P69:U69" si="6">SUM(P74:P81)</f>
        <v>14134958</v>
      </c>
      <c r="Q69" s="220">
        <f t="shared" si="6"/>
        <v>14033125</v>
      </c>
      <c r="R69" s="220">
        <f t="shared" si="6"/>
        <v>14090713</v>
      </c>
      <c r="S69" s="220">
        <f t="shared" si="6"/>
        <v>14208975</v>
      </c>
      <c r="T69" s="220">
        <f t="shared" si="6"/>
        <v>15229898</v>
      </c>
      <c r="U69" s="220">
        <f t="shared" si="6"/>
        <v>15229898</v>
      </c>
      <c r="W69" s="220">
        <f>SUM(W74:W81)</f>
        <v>14942821</v>
      </c>
      <c r="X69" s="220">
        <f>SUM(X74:X81)</f>
        <v>15248447</v>
      </c>
      <c r="Y69" s="220">
        <f>SUM(Y74:Y81)</f>
        <v>15500361</v>
      </c>
      <c r="Z69" s="220">
        <f>SUM(Z74:Z81)</f>
        <v>15545143</v>
      </c>
      <c r="AB69" s="220">
        <f>SUM(AB74:AB81)</f>
        <v>15425553</v>
      </c>
      <c r="AC69" s="220">
        <f>SUM(AC74:AC81)</f>
        <v>15453214</v>
      </c>
      <c r="AD69" s="220">
        <f>SUM(AD74:AD81)</f>
        <v>15541536</v>
      </c>
      <c r="AE69" s="220">
        <f>SUM(AE74:AE81)</f>
        <v>15975935</v>
      </c>
      <c r="AF69" s="14"/>
      <c r="AG69" s="220">
        <f>SUM(AG74:AG81)</f>
        <v>15838299</v>
      </c>
      <c r="AH69" s="220">
        <f>SUM(AH74:AH81)</f>
        <v>15847486</v>
      </c>
      <c r="AI69" s="220">
        <f>SUM(AI74:AI81)</f>
        <v>16431732</v>
      </c>
      <c r="AJ69" s="220">
        <f>SUM(AJ74:AJ81)</f>
        <v>16172697</v>
      </c>
      <c r="AK69" s="14"/>
      <c r="AL69" s="220">
        <f>SUM(AL74:AL81)</f>
        <v>16508621</v>
      </c>
      <c r="AM69" s="220">
        <f>SUM(AM74:AM81)</f>
        <v>16142086</v>
      </c>
      <c r="AN69" s="220">
        <f>SUM(AN74:AN81)</f>
        <v>16413626</v>
      </c>
      <c r="AO69" s="220">
        <f>SUM(AO74:AO81)</f>
        <v>15792776</v>
      </c>
      <c r="AQ69" s="220">
        <f>SUM(AQ74:AQ81)</f>
        <v>15978484</v>
      </c>
      <c r="AR69" s="220">
        <f>SUM(AR74:AR81)</f>
        <v>16242354</v>
      </c>
      <c r="AS69" s="220">
        <f>SUM(AS74:AS81)</f>
        <v>16400325</v>
      </c>
      <c r="AT69" s="220">
        <f>SUM(AT74:AT81)</f>
        <v>17109631</v>
      </c>
      <c r="AU69" s="14"/>
      <c r="AV69" s="220">
        <f>SUM(AV74:AV81)</f>
        <v>17332623</v>
      </c>
      <c r="AW69" s="220">
        <f>SUM(AW74:AW81)</f>
        <v>17773810</v>
      </c>
      <c r="AX69" s="220">
        <v>18300948</v>
      </c>
      <c r="AY69" s="220">
        <v>18646770</v>
      </c>
      <c r="AZ69" s="14"/>
      <c r="BA69" s="220">
        <v>18476300</v>
      </c>
      <c r="BB69" s="220">
        <v>18083377</v>
      </c>
      <c r="BC69" s="220">
        <v>17803277</v>
      </c>
      <c r="BD69" s="220">
        <v>16982948</v>
      </c>
    </row>
    <row r="70" spans="2:56" ht="20.25" customHeight="1">
      <c r="B70" s="221" t="s">
        <v>48</v>
      </c>
      <c r="C70" s="222">
        <v>6818.634233430038</v>
      </c>
      <c r="D70" s="223"/>
      <c r="E70" s="222">
        <v>6770.5477988317425</v>
      </c>
      <c r="F70" s="222">
        <v>7198.9033537282248</v>
      </c>
      <c r="G70" s="222">
        <v>6744.6807461744756</v>
      </c>
      <c r="H70" s="222">
        <v>5795.8966921077053</v>
      </c>
      <c r="J70" s="222">
        <v>5159.4615787737039</v>
      </c>
      <c r="K70" s="222">
        <v>5317.9640324783086</v>
      </c>
      <c r="L70" s="222">
        <v>4591.2442263464382</v>
      </c>
      <c r="M70" s="222">
        <v>4489.0765747887745</v>
      </c>
      <c r="N70" s="222">
        <v>4535.1132095241428</v>
      </c>
      <c r="P70" s="222">
        <v>4676.8104289708344</v>
      </c>
      <c r="Q70" s="222">
        <v>4812.2095914133361</v>
      </c>
      <c r="R70" s="222">
        <v>4892.6936231531799</v>
      </c>
      <c r="S70" s="222">
        <v>4934</v>
      </c>
      <c r="T70" s="222">
        <f>+T69/3000.71</f>
        <v>5075.4314812161119</v>
      </c>
      <c r="U70" s="222">
        <v>5075.4314812161119</v>
      </c>
      <c r="W70" s="222">
        <v>5188.0471766241708</v>
      </c>
      <c r="X70" s="222">
        <v>5019</v>
      </c>
      <c r="Y70" s="222">
        <v>5278</v>
      </c>
      <c r="Z70" s="222">
        <f>+Z69/2984</f>
        <v>5209.4983243967827</v>
      </c>
      <c r="AB70" s="222">
        <f>+AB69/2780.47</f>
        <v>5547.8221307908379</v>
      </c>
      <c r="AC70" s="222">
        <f>+AC69/2930.8</f>
        <v>5272.6948273508933</v>
      </c>
      <c r="AD70" s="222">
        <f>+AD69/2972.18</f>
        <v>5229.0022811539011</v>
      </c>
      <c r="AE70" s="222">
        <f>+AE69/3249.75</f>
        <v>4916.0504654204169</v>
      </c>
      <c r="AF70" s="14"/>
      <c r="AG70" s="222">
        <f>+AG69/3174.79</f>
        <v>4988.7705958504339</v>
      </c>
      <c r="AH70" s="222">
        <f>+AH69/3205.67</f>
        <v>4943.5799692419996</v>
      </c>
      <c r="AI70" s="222">
        <f>+AI69/3462.01</f>
        <v>4746.2982487052313</v>
      </c>
      <c r="AJ70" s="222">
        <f>+AJ69/3277.14</f>
        <v>4935.0033870997277</v>
      </c>
      <c r="AK70" s="14"/>
      <c r="AL70" s="222">
        <f>+AL69/4064.81</f>
        <v>4061.3512070674892</v>
      </c>
      <c r="AM70" s="222">
        <f>+AM69/3758.91</f>
        <v>4294.3528842137748</v>
      </c>
      <c r="AN70" s="222">
        <f>+AN69/3878.94</f>
        <v>4231.4720000824964</v>
      </c>
      <c r="AO70" s="222">
        <f>+AO69/3432.5</f>
        <v>4600.9544064093225</v>
      </c>
      <c r="AQ70" s="222">
        <f>+AQ69/3736.91</f>
        <v>4275.854649964811</v>
      </c>
      <c r="AR70" s="222">
        <f>+AR69/3756.67</f>
        <v>4323.6041494195661</v>
      </c>
      <c r="AS70" s="222">
        <f>+AS69/3834.68</f>
        <v>4276.8431785703115</v>
      </c>
      <c r="AT70" s="222">
        <f>+AT69/3981.16</f>
        <v>4297.6496799927663</v>
      </c>
      <c r="AU70" s="14"/>
      <c r="AV70" s="222">
        <f>+AV69/3748.15</f>
        <v>4624.3141283032965</v>
      </c>
      <c r="AW70" s="222">
        <f>+AW69/4127.47</f>
        <v>4306.2239095620316</v>
      </c>
      <c r="AX70" s="222">
        <v>4038.0991467475128</v>
      </c>
      <c r="AY70" s="222">
        <v>3876.506174379444</v>
      </c>
      <c r="AZ70" s="14"/>
      <c r="BA70" s="222">
        <v>3992.9159093806929</v>
      </c>
      <c r="BB70" s="222">
        <v>4314.5237254490276</v>
      </c>
      <c r="BC70" s="222">
        <v>4391.7935447584459</v>
      </c>
      <c r="BD70" s="222">
        <v>4443.413351473685</v>
      </c>
    </row>
    <row r="71" spans="2:56">
      <c r="C71" s="22"/>
      <c r="E71" s="22"/>
      <c r="F71" s="22"/>
      <c r="G71" s="22"/>
      <c r="H71" s="22"/>
      <c r="J71" s="22"/>
      <c r="K71" s="22"/>
      <c r="L71" s="22"/>
      <c r="M71" s="22"/>
      <c r="N71" s="22"/>
      <c r="P71" s="22"/>
      <c r="Q71" s="22"/>
      <c r="R71" s="22"/>
      <c r="S71" s="22"/>
      <c r="T71" s="22"/>
      <c r="U71" s="22"/>
      <c r="W71" s="22"/>
      <c r="AB71" s="22"/>
      <c r="AF71" s="14"/>
      <c r="AG71" s="22"/>
      <c r="AK71" s="14"/>
      <c r="AL71" s="22"/>
      <c r="AQ71" s="22"/>
      <c r="AU71" s="14"/>
      <c r="AZ71" s="14"/>
      <c r="BA71" s="22"/>
      <c r="BB71" s="22"/>
      <c r="BC71" s="22"/>
      <c r="BD71" s="22"/>
    </row>
    <row r="72" spans="2:56" ht="13">
      <c r="B72" s="24" t="s">
        <v>59</v>
      </c>
      <c r="C72" s="25">
        <f>+C66+C69</f>
        <v>14342821</v>
      </c>
      <c r="D72" s="24"/>
      <c r="E72" s="25">
        <f>+E66+E69</f>
        <v>14854507</v>
      </c>
      <c r="F72" s="25">
        <f>+F66+F69</f>
        <v>14874524</v>
      </c>
      <c r="G72" s="25">
        <f>+G66+G69</f>
        <v>15324587</v>
      </c>
      <c r="H72" s="25">
        <f>+H66+H69</f>
        <v>15212436</v>
      </c>
      <c r="I72" s="26"/>
      <c r="J72" s="25">
        <f>+J66+J69</f>
        <v>14952164</v>
      </c>
      <c r="K72" s="25">
        <f>+K66+K69</f>
        <v>15971524</v>
      </c>
      <c r="L72" s="25">
        <f>+L66+L69</f>
        <v>16466153</v>
      </c>
      <c r="M72" s="25">
        <f>+M66+M69</f>
        <v>16169425</v>
      </c>
      <c r="N72" s="25">
        <f>+N66+N69</f>
        <v>16327837</v>
      </c>
      <c r="P72" s="25">
        <f t="shared" ref="P72:U72" si="7">+P66+P69</f>
        <v>16210864</v>
      </c>
      <c r="Q72" s="25">
        <f t="shared" si="7"/>
        <v>16005705</v>
      </c>
      <c r="R72" s="25">
        <f t="shared" si="7"/>
        <v>15919947</v>
      </c>
      <c r="S72" s="25">
        <f t="shared" si="7"/>
        <v>16051630</v>
      </c>
      <c r="T72" s="25">
        <f t="shared" si="7"/>
        <v>16995199</v>
      </c>
      <c r="U72" s="25">
        <f t="shared" si="7"/>
        <v>17083471</v>
      </c>
      <c r="W72" s="25">
        <f>+W66+W69</f>
        <v>17289534</v>
      </c>
      <c r="X72" s="25">
        <f>+X66+X69</f>
        <v>17469084</v>
      </c>
      <c r="Y72" s="25">
        <f>+Y66+Y69</f>
        <v>17504261</v>
      </c>
      <c r="Z72" s="25">
        <f>+Z66+Z69</f>
        <v>17523550</v>
      </c>
      <c r="AB72" s="25">
        <f>+AB66+AB69</f>
        <v>17598033</v>
      </c>
      <c r="AC72" s="25">
        <f>+AC66+AC69</f>
        <v>17712442</v>
      </c>
      <c r="AD72" s="25">
        <f>+AD66+AD69</f>
        <v>17701476</v>
      </c>
      <c r="AE72" s="25">
        <f>+AE66+AE69</f>
        <v>17946404</v>
      </c>
      <c r="AF72" s="14"/>
      <c r="AG72" s="25">
        <f>+AG66+AG69</f>
        <v>17960990</v>
      </c>
      <c r="AH72" s="25">
        <f>+AH66+AH69</f>
        <v>17841047</v>
      </c>
      <c r="AI72" s="25">
        <f>+AI66+AI69</f>
        <v>18454416</v>
      </c>
      <c r="AJ72" s="25">
        <f>+AJ66+AJ69</f>
        <v>18160512</v>
      </c>
      <c r="AK72" s="14"/>
      <c r="AL72" s="25">
        <f>+AL66+AL69</f>
        <v>18898636</v>
      </c>
      <c r="AM72" s="25">
        <f>+AM66+AM69</f>
        <v>18483699</v>
      </c>
      <c r="AN72" s="25">
        <f>+AN66+AN69</f>
        <v>18650329</v>
      </c>
      <c r="AO72" s="25">
        <f>+AO66+AO69</f>
        <v>17791474</v>
      </c>
      <c r="AQ72" s="25">
        <f>+AQ66+AQ69</f>
        <v>18227370</v>
      </c>
      <c r="AR72" s="25">
        <f>+AR66+AR69</f>
        <v>18305094</v>
      </c>
      <c r="AS72" s="25">
        <f>+AS66+AS69</f>
        <v>18397007</v>
      </c>
      <c r="AT72" s="25">
        <f>+AT66+AT69</f>
        <v>18952092</v>
      </c>
      <c r="AU72" s="14"/>
      <c r="AV72" s="25">
        <f>+AV66+AV69</f>
        <v>19617186</v>
      </c>
      <c r="AW72" s="25">
        <f>+AW66+AW69</f>
        <v>19946286</v>
      </c>
      <c r="AX72" s="25">
        <v>20331169</v>
      </c>
      <c r="AY72" s="25">
        <v>20964835</v>
      </c>
      <c r="AZ72" s="14"/>
      <c r="BA72" s="25">
        <v>21467229</v>
      </c>
      <c r="BB72" s="25">
        <v>20961215</v>
      </c>
      <c r="BC72" s="25">
        <v>20509657</v>
      </c>
      <c r="BD72" s="25">
        <v>19610133</v>
      </c>
    </row>
    <row r="73" spans="2:56">
      <c r="C73" s="22"/>
      <c r="E73" s="22"/>
      <c r="F73" s="22"/>
      <c r="G73" s="22"/>
      <c r="H73" s="22"/>
      <c r="J73" s="22"/>
      <c r="K73" s="22"/>
      <c r="L73" s="22"/>
      <c r="M73" s="22"/>
      <c r="N73" s="22"/>
      <c r="P73" s="22"/>
      <c r="Q73" s="22"/>
      <c r="R73" s="22"/>
      <c r="S73" s="22"/>
      <c r="T73" s="22"/>
      <c r="U73" s="22"/>
      <c r="W73" s="22"/>
      <c r="AB73" s="22"/>
      <c r="AF73" s="14"/>
      <c r="AG73" s="22"/>
      <c r="AK73" s="14"/>
      <c r="AL73" s="22"/>
      <c r="AQ73" s="22"/>
      <c r="AU73" s="14"/>
      <c r="AZ73" s="14"/>
      <c r="BA73" s="22"/>
      <c r="BB73" s="22"/>
      <c r="BC73" s="10"/>
      <c r="BD73" s="22"/>
    </row>
    <row r="74" spans="2:56" s="10" customFormat="1" ht="16.5" customHeight="1">
      <c r="B74" s="15" t="s">
        <v>150</v>
      </c>
      <c r="C74" s="22">
        <v>51510</v>
      </c>
      <c r="D74" s="15"/>
      <c r="E74" s="22">
        <v>51481</v>
      </c>
      <c r="F74" s="22">
        <v>51481</v>
      </c>
      <c r="G74" s="22">
        <v>51481</v>
      </c>
      <c r="H74" s="22">
        <v>51510</v>
      </c>
      <c r="I74" s="11"/>
      <c r="J74" s="22">
        <v>51481</v>
      </c>
      <c r="K74" s="22">
        <v>50744</v>
      </c>
      <c r="L74" s="22">
        <v>50744</v>
      </c>
      <c r="M74" s="22">
        <v>51510</v>
      </c>
      <c r="N74" s="22">
        <v>51510</v>
      </c>
      <c r="P74" s="22">
        <v>51510</v>
      </c>
      <c r="Q74" s="22">
        <v>51510</v>
      </c>
      <c r="R74" s="22">
        <v>51510</v>
      </c>
      <c r="S74" s="22">
        <v>51510</v>
      </c>
      <c r="T74" s="22">
        <v>53933</v>
      </c>
      <c r="U74" s="22">
        <v>53933</v>
      </c>
      <c r="W74" s="22">
        <v>53933</v>
      </c>
      <c r="X74" s="153">
        <v>53933</v>
      </c>
      <c r="Y74" s="115">
        <v>53933</v>
      </c>
      <c r="Z74" s="117">
        <v>53933</v>
      </c>
      <c r="AA74" s="116"/>
      <c r="AB74" s="22">
        <v>53933</v>
      </c>
      <c r="AC74" s="153">
        <v>53933</v>
      </c>
      <c r="AD74" s="115">
        <v>53933</v>
      </c>
      <c r="AE74" s="117">
        <v>53933</v>
      </c>
      <c r="AF74" s="14"/>
      <c r="AG74" s="22">
        <v>53933</v>
      </c>
      <c r="AH74" s="153">
        <v>53933</v>
      </c>
      <c r="AI74" s="115">
        <v>53933</v>
      </c>
      <c r="AJ74" s="117">
        <v>53933</v>
      </c>
      <c r="AK74" s="14"/>
      <c r="AL74" s="22">
        <v>53933</v>
      </c>
      <c r="AM74" s="153">
        <v>53933</v>
      </c>
      <c r="AN74" s="115">
        <v>53933</v>
      </c>
      <c r="AO74" s="117">
        <v>53933</v>
      </c>
      <c r="AQ74" s="22">
        <v>53933</v>
      </c>
      <c r="AR74" s="153">
        <v>54697</v>
      </c>
      <c r="AS74" s="153">
        <v>54697</v>
      </c>
      <c r="AT74" s="153">
        <v>54697</v>
      </c>
      <c r="AU74" s="14"/>
      <c r="AV74" s="153">
        <v>54697</v>
      </c>
      <c r="AW74" s="153">
        <v>54697</v>
      </c>
      <c r="AX74" s="153">
        <v>54697</v>
      </c>
      <c r="AY74" s="153">
        <v>54697</v>
      </c>
      <c r="AZ74" s="14"/>
      <c r="BA74" s="22">
        <v>54697</v>
      </c>
      <c r="BB74" s="22">
        <v>54697</v>
      </c>
      <c r="BC74" s="22">
        <v>54697</v>
      </c>
      <c r="BD74" s="22">
        <v>54697</v>
      </c>
    </row>
    <row r="75" spans="2:56" s="10" customFormat="1" ht="16.5" customHeight="1">
      <c r="B75" s="15" t="s">
        <v>139</v>
      </c>
      <c r="C75" s="22">
        <v>667459</v>
      </c>
      <c r="D75" s="15"/>
      <c r="E75" s="22">
        <v>687062</v>
      </c>
      <c r="F75" s="22">
        <v>697292</v>
      </c>
      <c r="G75" s="22">
        <v>680690</v>
      </c>
      <c r="H75" s="22">
        <v>680051</v>
      </c>
      <c r="I75" s="11"/>
      <c r="J75" s="22">
        <v>689585</v>
      </c>
      <c r="K75" s="22">
        <v>681444</v>
      </c>
      <c r="L75" s="22">
        <v>680280</v>
      </c>
      <c r="M75" s="22">
        <v>680218</v>
      </c>
      <c r="N75" s="22">
        <v>680218</v>
      </c>
      <c r="P75" s="22">
        <v>680218</v>
      </c>
      <c r="Q75" s="22">
        <v>680218</v>
      </c>
      <c r="R75" s="22">
        <v>680218</v>
      </c>
      <c r="S75" s="22">
        <v>680218</v>
      </c>
      <c r="T75" s="22">
        <f>1354760-1</f>
        <v>1354759</v>
      </c>
      <c r="U75" s="22">
        <v>1354759</v>
      </c>
      <c r="W75" s="22">
        <f>1354760-1</f>
        <v>1354759</v>
      </c>
      <c r="X75" s="22">
        <f>1354760-1</f>
        <v>1354759</v>
      </c>
      <c r="Y75" s="22">
        <v>1354759</v>
      </c>
      <c r="Z75" s="117">
        <v>1354759</v>
      </c>
      <c r="AA75" s="116"/>
      <c r="AB75" s="22">
        <v>1354759</v>
      </c>
      <c r="AC75" s="22">
        <v>1354759</v>
      </c>
      <c r="AD75" s="22">
        <v>1354759</v>
      </c>
      <c r="AE75" s="117">
        <v>1354759</v>
      </c>
      <c r="AF75" s="14"/>
      <c r="AG75" s="22">
        <v>1354759</v>
      </c>
      <c r="AH75" s="22">
        <v>1354759</v>
      </c>
      <c r="AI75" s="22">
        <v>1354759</v>
      </c>
      <c r="AJ75" s="117">
        <v>1354759</v>
      </c>
      <c r="AK75" s="14"/>
      <c r="AL75" s="22">
        <v>1354759</v>
      </c>
      <c r="AM75" s="22">
        <v>1354759</v>
      </c>
      <c r="AN75" s="22">
        <v>1354759</v>
      </c>
      <c r="AO75" s="117">
        <v>1354759</v>
      </c>
      <c r="AQ75" s="22">
        <v>1354759</v>
      </c>
      <c r="AR75" s="22">
        <v>1503373</v>
      </c>
      <c r="AS75" s="22">
        <v>1503373</v>
      </c>
      <c r="AT75" s="22">
        <v>1503373</v>
      </c>
      <c r="AU75" s="14"/>
      <c r="AV75" s="22">
        <v>1503373</v>
      </c>
      <c r="AW75" s="22">
        <v>1503373</v>
      </c>
      <c r="AX75" s="22">
        <v>1503373</v>
      </c>
      <c r="AY75" s="22">
        <v>1503373</v>
      </c>
      <c r="AZ75" s="14"/>
      <c r="BA75" s="22">
        <v>1503373</v>
      </c>
      <c r="BB75" s="22">
        <v>1503373</v>
      </c>
      <c r="BC75" s="22">
        <v>1503373</v>
      </c>
      <c r="BD75" s="22">
        <v>1503373</v>
      </c>
    </row>
    <row r="76" spans="2:56" s="10" customFormat="1" ht="16.5" customHeight="1">
      <c r="B76" s="15" t="s">
        <v>353</v>
      </c>
      <c r="C76" s="22"/>
      <c r="D76" s="15"/>
      <c r="E76" s="22"/>
      <c r="F76" s="22"/>
      <c r="G76" s="22"/>
      <c r="H76" s="22"/>
      <c r="I76" s="11"/>
      <c r="J76" s="22"/>
      <c r="K76" s="22"/>
      <c r="L76" s="22"/>
      <c r="M76" s="22"/>
      <c r="N76" s="22"/>
      <c r="P76" s="22"/>
      <c r="Q76" s="22"/>
      <c r="R76" s="22"/>
      <c r="S76" s="22"/>
      <c r="T76" s="22"/>
      <c r="U76" s="22"/>
      <c r="W76" s="22"/>
      <c r="X76" s="22"/>
      <c r="Y76" s="22"/>
      <c r="Z76" s="117"/>
      <c r="AA76" s="116"/>
      <c r="AB76" s="22"/>
      <c r="AC76" s="22"/>
      <c r="AD76" s="22"/>
      <c r="AE76" s="117"/>
      <c r="AF76" s="14"/>
      <c r="AG76" s="22"/>
      <c r="AH76" s="22"/>
      <c r="AI76" s="22"/>
      <c r="AJ76" s="117"/>
      <c r="AK76" s="14"/>
      <c r="AL76" s="22"/>
      <c r="AM76" s="22"/>
      <c r="AN76" s="22"/>
      <c r="AO76" s="117"/>
      <c r="AQ76" s="22"/>
      <c r="AR76" s="22"/>
      <c r="AS76" s="22"/>
      <c r="AT76" s="22"/>
      <c r="AU76" s="14"/>
      <c r="AV76" s="22"/>
      <c r="AW76" s="22"/>
      <c r="AX76" s="22"/>
      <c r="AY76" s="22"/>
      <c r="AZ76" s="14"/>
      <c r="BA76" s="22">
        <v>-11611</v>
      </c>
      <c r="BB76" s="22">
        <v>-13392</v>
      </c>
      <c r="BC76" s="22">
        <v>-34094</v>
      </c>
      <c r="BD76" s="22">
        <v>-68994</v>
      </c>
    </row>
    <row r="77" spans="2:56" s="10" customFormat="1" ht="16.5" customHeight="1">
      <c r="B77" s="15" t="s">
        <v>62</v>
      </c>
      <c r="C77" s="228">
        <v>1143369</v>
      </c>
      <c r="D77" s="15"/>
      <c r="E77" s="228">
        <v>1347062</v>
      </c>
      <c r="F77" s="228">
        <v>1310992</v>
      </c>
      <c r="G77" s="228">
        <v>1442348</v>
      </c>
      <c r="H77" s="228">
        <v>1854084</v>
      </c>
      <c r="I77" s="11"/>
      <c r="J77" s="228">
        <v>1160573</v>
      </c>
      <c r="K77" s="228">
        <f>1517189-1</f>
        <v>1517188</v>
      </c>
      <c r="L77" s="228">
        <f>1797145-1</f>
        <v>1797144</v>
      </c>
      <c r="M77" s="228">
        <v>1694121</v>
      </c>
      <c r="N77" s="228">
        <v>1714197</v>
      </c>
      <c r="P77" s="22">
        <v>1982831</v>
      </c>
      <c r="Q77" s="22">
        <v>1835682</v>
      </c>
      <c r="R77" s="22">
        <v>1700353</v>
      </c>
      <c r="S77" s="22">
        <v>1447059</v>
      </c>
      <c r="T77" s="22">
        <v>1559137</v>
      </c>
      <c r="U77" s="22">
        <v>1559137</v>
      </c>
      <c r="W77" s="22">
        <v>1288659</v>
      </c>
      <c r="X77" s="115">
        <v>1561959</v>
      </c>
      <c r="Y77" s="115">
        <v>1479092</v>
      </c>
      <c r="Z77" s="115">
        <v>1564175</v>
      </c>
      <c r="AA77" s="116"/>
      <c r="AB77" s="22">
        <v>1192509</v>
      </c>
      <c r="AC77" s="115">
        <v>1448037</v>
      </c>
      <c r="AD77" s="115">
        <v>1359357</v>
      </c>
      <c r="AE77" s="115">
        <v>1692653</v>
      </c>
      <c r="AF77" s="14"/>
      <c r="AG77" s="22">
        <v>1717615</v>
      </c>
      <c r="AH77" s="115">
        <v>1678096</v>
      </c>
      <c r="AI77" s="115">
        <v>2066962</v>
      </c>
      <c r="AJ77" s="115">
        <v>1765469</v>
      </c>
      <c r="AK77" s="14"/>
      <c r="AL77" s="22">
        <v>2315053</v>
      </c>
      <c r="AM77" s="115">
        <v>2001434</v>
      </c>
      <c r="AN77" s="115">
        <v>2299687</v>
      </c>
      <c r="AO77" s="115">
        <v>1792605</v>
      </c>
      <c r="AQ77" s="22">
        <v>2187416</v>
      </c>
      <c r="AR77" s="115">
        <v>2171185</v>
      </c>
      <c r="AS77" s="115">
        <v>2313730</v>
      </c>
      <c r="AT77" s="115">
        <v>3012156</v>
      </c>
      <c r="AU77" s="14"/>
      <c r="AV77" s="115">
        <v>3499288</v>
      </c>
      <c r="AW77" s="115">
        <v>3844267</v>
      </c>
      <c r="AX77" s="115">
        <v>4277029</v>
      </c>
      <c r="AY77" s="115">
        <v>4728224</v>
      </c>
      <c r="AZ77" s="14"/>
      <c r="BA77" s="22">
        <v>4651191</v>
      </c>
      <c r="BB77" s="22">
        <v>3883097</v>
      </c>
      <c r="BC77" s="22">
        <v>3505883</v>
      </c>
      <c r="BD77" s="22">
        <v>2777128</v>
      </c>
    </row>
    <row r="78" spans="2:56" s="10" customFormat="1" ht="16.5" customHeight="1">
      <c r="B78" s="15" t="s">
        <v>35</v>
      </c>
      <c r="C78" s="22">
        <v>2331912</v>
      </c>
      <c r="D78" s="15"/>
      <c r="E78" s="22">
        <v>2430710</v>
      </c>
      <c r="F78" s="22">
        <v>2430707</v>
      </c>
      <c r="G78" s="22">
        <v>2431796</v>
      </c>
      <c r="H78" s="22">
        <v>2430615</v>
      </c>
      <c r="I78" s="11"/>
      <c r="J78" s="22">
        <v>2543398</v>
      </c>
      <c r="K78" s="22">
        <v>2547385</v>
      </c>
      <c r="L78" s="22">
        <v>2543987</v>
      </c>
      <c r="M78" s="22">
        <f>2452117+154742</f>
        <v>2606859</v>
      </c>
      <c r="N78" s="22">
        <v>2606859</v>
      </c>
      <c r="P78" s="22">
        <v>2743765</v>
      </c>
      <c r="Q78" s="22">
        <v>2743765</v>
      </c>
      <c r="R78" s="22">
        <v>2743764</v>
      </c>
      <c r="S78" s="22">
        <v>2743765</v>
      </c>
      <c r="T78" s="22">
        <v>2743764</v>
      </c>
      <c r="U78" s="22">
        <v>2743764</v>
      </c>
      <c r="W78" s="22">
        <v>2829844</v>
      </c>
      <c r="X78" s="115">
        <v>2829844</v>
      </c>
      <c r="Y78" s="115">
        <v>2829844</v>
      </c>
      <c r="Z78" s="117">
        <v>2829844</v>
      </c>
      <c r="AA78" s="116"/>
      <c r="AB78" s="22">
        <v>2829844</v>
      </c>
      <c r="AC78" s="115">
        <v>3001515</v>
      </c>
      <c r="AD78" s="115">
        <v>3001515</v>
      </c>
      <c r="AE78" s="117">
        <v>3001515</v>
      </c>
      <c r="AF78" s="14"/>
      <c r="AG78" s="22">
        <v>3513161</v>
      </c>
      <c r="AH78" s="115">
        <v>3513162</v>
      </c>
      <c r="AI78" s="115">
        <v>3513161</v>
      </c>
      <c r="AJ78" s="117">
        <v>3513161</v>
      </c>
      <c r="AK78" s="14"/>
      <c r="AL78" s="22">
        <v>3673583</v>
      </c>
      <c r="AM78" s="115">
        <v>3673583</v>
      </c>
      <c r="AN78" s="115">
        <v>3673584</v>
      </c>
      <c r="AO78" s="117">
        <v>3673583</v>
      </c>
      <c r="AQ78" s="22">
        <v>3339623</v>
      </c>
      <c r="AR78" s="115">
        <v>3339623</v>
      </c>
      <c r="AS78" s="115">
        <v>3339623</v>
      </c>
      <c r="AT78" s="115">
        <v>3339623</v>
      </c>
      <c r="AU78" s="14"/>
      <c r="AV78" s="115">
        <v>3241099</v>
      </c>
      <c r="AW78" s="115">
        <v>3241099</v>
      </c>
      <c r="AX78" s="115">
        <v>3241097</v>
      </c>
      <c r="AY78" s="115">
        <v>3241097</v>
      </c>
      <c r="AZ78" s="14"/>
      <c r="BA78" s="22">
        <v>3093300</v>
      </c>
      <c r="BB78" s="22">
        <v>3093387</v>
      </c>
      <c r="BC78" s="22">
        <v>3094102</v>
      </c>
      <c r="BD78" s="22">
        <v>3094653</v>
      </c>
    </row>
    <row r="79" spans="2:56" s="10" customFormat="1" ht="16.5" customHeight="1">
      <c r="B79" s="15" t="s">
        <v>86</v>
      </c>
      <c r="C79" s="153">
        <v>0</v>
      </c>
      <c r="D79" s="15"/>
      <c r="E79" s="153">
        <v>0</v>
      </c>
      <c r="F79" s="153">
        <v>0</v>
      </c>
      <c r="G79" s="153">
        <v>0</v>
      </c>
      <c r="H79" s="153">
        <v>0</v>
      </c>
      <c r="I79" s="11"/>
      <c r="J79" s="153">
        <v>0</v>
      </c>
      <c r="K79" s="153">
        <v>0</v>
      </c>
      <c r="L79" s="153">
        <v>0</v>
      </c>
      <c r="M79" s="153">
        <v>130033</v>
      </c>
      <c r="N79" s="153">
        <f>127591+3739+37788</f>
        <v>169118</v>
      </c>
      <c r="P79" s="153">
        <v>0</v>
      </c>
      <c r="Q79" s="153">
        <v>0</v>
      </c>
      <c r="R79" s="153">
        <v>0</v>
      </c>
      <c r="S79" s="153">
        <v>248090</v>
      </c>
      <c r="T79" s="153">
        <f>428834+37788</f>
        <v>466622</v>
      </c>
      <c r="U79" s="153">
        <v>466622</v>
      </c>
      <c r="W79" s="153">
        <v>628793</v>
      </c>
      <c r="X79" s="153">
        <v>599700</v>
      </c>
      <c r="Y79" s="153">
        <v>601328</v>
      </c>
      <c r="Z79" s="117">
        <v>592604</v>
      </c>
      <c r="AA79" s="116"/>
      <c r="AB79" s="153">
        <v>366085</v>
      </c>
      <c r="AC79" s="153">
        <v>379442</v>
      </c>
      <c r="AD79" s="153">
        <v>367883</v>
      </c>
      <c r="AE79" s="115">
        <v>374968</v>
      </c>
      <c r="AF79" s="14"/>
      <c r="AG79" s="153">
        <v>340018</v>
      </c>
      <c r="AH79" s="153">
        <v>338899</v>
      </c>
      <c r="AI79" s="153">
        <v>335143</v>
      </c>
      <c r="AJ79" s="115">
        <v>301188</v>
      </c>
      <c r="AK79" s="14"/>
      <c r="AL79" s="153">
        <v>301095</v>
      </c>
      <c r="AM79" s="153">
        <v>303971</v>
      </c>
      <c r="AN79" s="153">
        <v>305926</v>
      </c>
      <c r="AO79" s="115">
        <v>301186</v>
      </c>
      <c r="AQ79" s="153">
        <v>301499</v>
      </c>
      <c r="AR79" s="153">
        <v>317308</v>
      </c>
      <c r="AS79" s="153">
        <v>281070</v>
      </c>
      <c r="AT79" s="153">
        <v>275290</v>
      </c>
      <c r="AU79" s="14"/>
      <c r="AV79" s="153">
        <v>274684</v>
      </c>
      <c r="AW79" s="153">
        <v>287187</v>
      </c>
      <c r="AX79" s="153">
        <v>299141</v>
      </c>
      <c r="AY79" s="153">
        <v>300068</v>
      </c>
      <c r="AZ79" s="14"/>
      <c r="BA79" s="153">
        <v>366190</v>
      </c>
      <c r="BB79" s="153">
        <v>387025</v>
      </c>
      <c r="BC79" s="153">
        <v>386580</v>
      </c>
      <c r="BD79" s="153">
        <v>352533</v>
      </c>
    </row>
    <row r="80" spans="2:56" ht="16.5" customHeight="1">
      <c r="B80" s="23" t="s">
        <v>140</v>
      </c>
      <c r="C80" s="22">
        <v>8649149</v>
      </c>
      <c r="D80" s="23"/>
      <c r="E80" s="22">
        <v>8811355</v>
      </c>
      <c r="F80" s="22">
        <v>8811355</v>
      </c>
      <c r="G80" s="22">
        <v>8811355</v>
      </c>
      <c r="H80" s="22">
        <v>8649149</v>
      </c>
      <c r="J80" s="22">
        <v>8811355</v>
      </c>
      <c r="K80" s="22">
        <f>8811355</f>
        <v>8811355</v>
      </c>
      <c r="L80" s="22">
        <f>8811355</f>
        <v>8811355</v>
      </c>
      <c r="M80" s="22">
        <v>8603670</v>
      </c>
      <c r="N80" s="22">
        <f>8703627-37788</f>
        <v>8665839</v>
      </c>
      <c r="P80" s="22">
        <v>8585838</v>
      </c>
      <c r="Q80" s="22">
        <v>8585838</v>
      </c>
      <c r="R80" s="22">
        <v>8752011</v>
      </c>
      <c r="S80" s="22">
        <v>8854990</v>
      </c>
      <c r="T80" s="22">
        <f>8737650+1-37788</f>
        <v>8699863</v>
      </c>
      <c r="U80" s="22">
        <v>8699863</v>
      </c>
      <c r="W80" s="22">
        <v>8699862</v>
      </c>
      <c r="X80" s="153">
        <v>8699863</v>
      </c>
      <c r="Y80" s="153">
        <v>8699863</v>
      </c>
      <c r="Z80" s="116">
        <v>8696987</v>
      </c>
      <c r="AB80" s="22">
        <v>9148034</v>
      </c>
      <c r="AC80" s="153">
        <v>8695192</v>
      </c>
      <c r="AD80" s="153">
        <v>8693237</v>
      </c>
      <c r="AE80" s="153">
        <v>8686431</v>
      </c>
      <c r="AF80" s="14"/>
      <c r="AG80" s="22">
        <v>8686625</v>
      </c>
      <c r="AH80" s="153">
        <v>8702920</v>
      </c>
      <c r="AI80" s="153">
        <v>8702956</v>
      </c>
      <c r="AJ80" s="153">
        <v>8701448</v>
      </c>
      <c r="AK80" s="14"/>
      <c r="AL80" s="22">
        <v>8710802</v>
      </c>
      <c r="AM80" s="153">
        <v>8710838</v>
      </c>
      <c r="AN80" s="153">
        <v>8710874</v>
      </c>
      <c r="AO80" s="153">
        <v>8675833</v>
      </c>
      <c r="AQ80" s="22">
        <v>8623072</v>
      </c>
      <c r="AR80" s="153">
        <v>8623109</v>
      </c>
      <c r="AS80" s="153">
        <v>8562511</v>
      </c>
      <c r="AT80" s="153">
        <v>8588287</v>
      </c>
      <c r="AU80" s="14"/>
      <c r="AV80" s="153">
        <v>8588356</v>
      </c>
      <c r="AW80" s="153">
        <v>8589044</v>
      </c>
      <c r="AX80" s="153">
        <v>8588829</v>
      </c>
      <c r="AY80" s="153">
        <v>8473522</v>
      </c>
      <c r="AZ80" s="14"/>
      <c r="BA80" s="22">
        <v>8472878</v>
      </c>
      <c r="BB80" s="22">
        <v>8471640</v>
      </c>
      <c r="BC80" s="22">
        <v>8470697</v>
      </c>
      <c r="BD80" s="22">
        <v>8480217</v>
      </c>
    </row>
    <row r="81" spans="2:56" ht="16.5" customHeight="1">
      <c r="B81" s="15" t="s">
        <v>151</v>
      </c>
      <c r="C81" s="18">
        <v>294950</v>
      </c>
      <c r="D81" s="15"/>
      <c r="E81" s="196">
        <v>-21377</v>
      </c>
      <c r="F81" s="18">
        <v>240678</v>
      </c>
      <c r="G81" s="18">
        <v>263780</v>
      </c>
      <c r="H81" s="18">
        <v>201042</v>
      </c>
      <c r="J81" s="18">
        <v>34639</v>
      </c>
      <c r="K81" s="18">
        <v>139406</v>
      </c>
      <c r="L81" s="18">
        <v>450079</v>
      </c>
      <c r="M81" s="18">
        <v>371801</v>
      </c>
      <c r="N81" s="150">
        <v>395462</v>
      </c>
      <c r="P81" s="18">
        <v>90796</v>
      </c>
      <c r="Q81" s="18">
        <v>136112</v>
      </c>
      <c r="R81" s="18">
        <v>162857</v>
      </c>
      <c r="S81" s="18">
        <v>183343</v>
      </c>
      <c r="T81" s="18">
        <v>351820</v>
      </c>
      <c r="U81" s="18">
        <v>351820</v>
      </c>
      <c r="W81" s="18">
        <v>86971</v>
      </c>
      <c r="X81" s="116">
        <v>148389</v>
      </c>
      <c r="Y81" s="116">
        <v>481542</v>
      </c>
      <c r="Z81" s="116">
        <v>452841</v>
      </c>
      <c r="AB81" s="18">
        <v>480389</v>
      </c>
      <c r="AC81" s="116">
        <v>520336</v>
      </c>
      <c r="AD81" s="116">
        <v>710852</v>
      </c>
      <c r="AE81" s="116">
        <v>811676</v>
      </c>
      <c r="AF81" s="14"/>
      <c r="AG81" s="18">
        <v>172188</v>
      </c>
      <c r="AH81" s="116">
        <v>205717</v>
      </c>
      <c r="AI81" s="116">
        <v>404818</v>
      </c>
      <c r="AJ81" s="116">
        <v>482739</v>
      </c>
      <c r="AK81" s="14"/>
      <c r="AL81" s="150">
        <v>99396</v>
      </c>
      <c r="AM81" s="118">
        <v>43568</v>
      </c>
      <c r="AN81" s="116">
        <v>14863</v>
      </c>
      <c r="AO81" s="116">
        <v>-59123</v>
      </c>
      <c r="AQ81" s="150">
        <v>118182</v>
      </c>
      <c r="AR81" s="118">
        <v>233059</v>
      </c>
      <c r="AS81" s="118">
        <v>345321</v>
      </c>
      <c r="AT81" s="118">
        <v>336205</v>
      </c>
      <c r="AU81" s="14"/>
      <c r="AV81" s="118">
        <v>171126</v>
      </c>
      <c r="AW81" s="118">
        <v>254143</v>
      </c>
      <c r="AX81" s="118">
        <v>336782</v>
      </c>
      <c r="AY81" s="118">
        <v>345789</v>
      </c>
      <c r="AZ81" s="14"/>
      <c r="BA81" s="150">
        <v>346282</v>
      </c>
      <c r="BB81" s="150">
        <v>703550</v>
      </c>
      <c r="BC81" s="150">
        <v>822039</v>
      </c>
      <c r="BD81" s="150">
        <v>789341</v>
      </c>
    </row>
    <row r="82" spans="2:56" ht="7.5" customHeight="1">
      <c r="B82" s="15"/>
      <c r="C82" s="18"/>
      <c r="D82" s="15"/>
      <c r="E82" s="18"/>
      <c r="F82" s="18"/>
      <c r="G82" s="18"/>
      <c r="H82" s="18"/>
      <c r="J82" s="18"/>
      <c r="K82" s="18"/>
      <c r="L82" s="18"/>
      <c r="M82" s="18"/>
      <c r="N82" s="18"/>
      <c r="P82" s="18"/>
      <c r="Q82" s="18"/>
      <c r="R82" s="18"/>
      <c r="S82" s="18"/>
      <c r="T82" s="18"/>
      <c r="U82" s="18"/>
      <c r="W82" s="18"/>
      <c r="AB82" s="18"/>
      <c r="AF82" s="14"/>
      <c r="AG82" s="18"/>
      <c r="AK82" s="14"/>
      <c r="AL82" s="18"/>
      <c r="AQ82" s="18"/>
      <c r="AU82" s="14"/>
      <c r="AZ82" s="14"/>
      <c r="BA82" s="18"/>
      <c r="BB82" s="18"/>
      <c r="BC82" s="18"/>
      <c r="BD82" s="18"/>
    </row>
    <row r="83" spans="2:56" ht="20.25" customHeight="1">
      <c r="B83" s="219" t="s">
        <v>52</v>
      </c>
      <c r="C83" s="220">
        <f>SUM(C74:C81)</f>
        <v>13138349</v>
      </c>
      <c r="D83" s="24"/>
      <c r="E83" s="220">
        <f>SUM(E74:E81)</f>
        <v>13306293</v>
      </c>
      <c r="F83" s="220">
        <f>SUM(F74:F81)</f>
        <v>13542505</v>
      </c>
      <c r="G83" s="220">
        <f>SUM(G74:G81)</f>
        <v>13681450</v>
      </c>
      <c r="H83" s="220">
        <f>SUM(H74:H81)</f>
        <v>13866451</v>
      </c>
      <c r="J83" s="220">
        <f>SUM(J74:J81)</f>
        <v>13291031</v>
      </c>
      <c r="K83" s="220">
        <f>SUM(K74:K81)</f>
        <v>13747522</v>
      </c>
      <c r="L83" s="220">
        <f>SUM(L74:L81)</f>
        <v>14333589</v>
      </c>
      <c r="M83" s="220">
        <f>SUM(M74:M81)</f>
        <v>14138212</v>
      </c>
      <c r="N83" s="220">
        <f>SUM(N74:N81)</f>
        <v>14283203</v>
      </c>
      <c r="P83" s="220">
        <f t="shared" ref="P83:U83" si="8">SUM(P74:P81)</f>
        <v>14134958</v>
      </c>
      <c r="Q83" s="220">
        <f t="shared" si="8"/>
        <v>14033125</v>
      </c>
      <c r="R83" s="220">
        <f t="shared" si="8"/>
        <v>14090713</v>
      </c>
      <c r="S83" s="220">
        <f t="shared" si="8"/>
        <v>14208975</v>
      </c>
      <c r="T83" s="220">
        <f t="shared" si="8"/>
        <v>15229898</v>
      </c>
      <c r="U83" s="220">
        <f t="shared" si="8"/>
        <v>15229898</v>
      </c>
      <c r="W83" s="220">
        <f>SUM(W74:W81)</f>
        <v>14942821</v>
      </c>
      <c r="X83" s="220">
        <f>SUM(X74:X81)</f>
        <v>15248447</v>
      </c>
      <c r="Y83" s="220">
        <f>SUM(Y74:Y81)</f>
        <v>15500361</v>
      </c>
      <c r="Z83" s="220">
        <f>SUM(Z74:Z81)</f>
        <v>15545143</v>
      </c>
      <c r="AB83" s="220">
        <f>SUM(AB74:AB81)</f>
        <v>15425553</v>
      </c>
      <c r="AC83" s="220">
        <f>SUM(AC74:AC81)</f>
        <v>15453214</v>
      </c>
      <c r="AD83" s="220">
        <f>SUM(AD74:AD81)</f>
        <v>15541536</v>
      </c>
      <c r="AE83" s="220">
        <f>SUM(AE74:AE81)</f>
        <v>15975935</v>
      </c>
      <c r="AF83" s="14"/>
      <c r="AG83" s="220">
        <f>SUM(AG74:AG81)</f>
        <v>15838299</v>
      </c>
      <c r="AH83" s="220">
        <f>SUM(AH74:AH81)</f>
        <v>15847486</v>
      </c>
      <c r="AI83" s="220">
        <f>SUM(AI74:AI81)</f>
        <v>16431732</v>
      </c>
      <c r="AJ83" s="220">
        <f>SUM(AJ74:AJ81)</f>
        <v>16172697</v>
      </c>
      <c r="AK83" s="14"/>
      <c r="AL83" s="220">
        <f>SUM(AL74:AL81)</f>
        <v>16508621</v>
      </c>
      <c r="AM83" s="220">
        <f>SUM(AM74:AM81)</f>
        <v>16142086</v>
      </c>
      <c r="AN83" s="220">
        <f>SUM(AN74:AN81)</f>
        <v>16413626</v>
      </c>
      <c r="AO83" s="220">
        <f>SUM(AO74:AO81)</f>
        <v>15792776</v>
      </c>
      <c r="AQ83" s="220">
        <f>SUM(AQ74:AQ81)</f>
        <v>15978484</v>
      </c>
      <c r="AR83" s="220">
        <f>SUM(AR74:AR81)</f>
        <v>16242354</v>
      </c>
      <c r="AS83" s="220">
        <f>SUM(AS74:AS81)</f>
        <v>16400325</v>
      </c>
      <c r="AT83" s="220">
        <f>SUM(AT74:AT81)</f>
        <v>17109631</v>
      </c>
      <c r="AU83" s="14"/>
      <c r="AV83" s="220">
        <f>SUM(AV74:AV81)</f>
        <v>17332623</v>
      </c>
      <c r="AW83" s="220">
        <f>SUM(AW74:AW81)</f>
        <v>17773810</v>
      </c>
      <c r="AX83" s="220">
        <v>18300948</v>
      </c>
      <c r="AY83" s="220">
        <v>18646770</v>
      </c>
      <c r="AZ83" s="14"/>
      <c r="BA83" s="220">
        <v>18476300</v>
      </c>
      <c r="BB83" s="220">
        <v>18083377</v>
      </c>
      <c r="BC83" s="220">
        <v>17803277</v>
      </c>
      <c r="BD83" s="220">
        <v>16982948</v>
      </c>
    </row>
    <row r="84" spans="2:56" ht="11.25" customHeight="1">
      <c r="B84" s="15"/>
      <c r="C84" s="22"/>
      <c r="D84" s="15"/>
      <c r="E84" s="22"/>
      <c r="F84" s="22"/>
      <c r="G84" s="22"/>
      <c r="H84" s="22"/>
      <c r="J84" s="22"/>
      <c r="K84" s="22"/>
      <c r="L84" s="22"/>
      <c r="M84" s="22"/>
      <c r="N84" s="22"/>
      <c r="P84" s="22"/>
      <c r="Q84" s="22"/>
      <c r="R84" s="22"/>
      <c r="S84" s="22"/>
    </row>
    <row r="85" spans="2:56">
      <c r="C85" s="10"/>
    </row>
    <row r="86" spans="2:56" ht="16.5" customHeight="1"/>
    <row r="87" spans="2:56" ht="16.5" customHeight="1">
      <c r="AM87" s="11">
        <v>0</v>
      </c>
      <c r="AN87" s="197">
        <v>0</v>
      </c>
    </row>
    <row r="88" spans="2:56" ht="14.25" customHeight="1">
      <c r="AM88" s="11">
        <v>0</v>
      </c>
      <c r="AN88" s="197">
        <v>0</v>
      </c>
    </row>
    <row r="89" spans="2:56" ht="16.5" customHeight="1"/>
    <row r="90" spans="2:56" ht="3.75" customHeight="1"/>
    <row r="91" spans="2:56" ht="16.5" customHeight="1"/>
    <row r="93" spans="2:56" ht="14.25" customHeight="1">
      <c r="B93" s="377"/>
      <c r="C93" s="377"/>
      <c r="D93" s="377"/>
      <c r="E93" s="377"/>
      <c r="F93" s="377"/>
      <c r="G93" s="11"/>
      <c r="H93" s="11"/>
    </row>
    <row r="97" spans="2:8" ht="14.5">
      <c r="B97" s="31"/>
      <c r="C97" s="31"/>
      <c r="D97" s="31"/>
      <c r="E97" s="32"/>
      <c r="F97" s="32"/>
      <c r="G97" s="32"/>
      <c r="H97" s="32"/>
    </row>
    <row r="98" spans="2:8" ht="14.5">
      <c r="B98" s="33"/>
      <c r="C98" s="33"/>
      <c r="D98" s="33"/>
      <c r="E98" s="34"/>
      <c r="F98" s="35"/>
      <c r="G98" s="35"/>
      <c r="H98" s="35"/>
    </row>
    <row r="99" spans="2:8" ht="14.5">
      <c r="B99" s="33"/>
      <c r="C99" s="33"/>
      <c r="D99" s="33"/>
      <c r="E99" s="32"/>
      <c r="F99" s="21"/>
      <c r="G99" s="21"/>
      <c r="H99" s="21"/>
    </row>
    <row r="100" spans="2:8" ht="14.5">
      <c r="B100" s="33"/>
      <c r="C100" s="33"/>
      <c r="D100" s="33"/>
      <c r="E100" s="32"/>
      <c r="F100" s="21"/>
      <c r="G100" s="21"/>
      <c r="H100" s="21"/>
    </row>
    <row r="101" spans="2:8" ht="14.5">
      <c r="B101" s="33"/>
      <c r="C101" s="33"/>
      <c r="D101" s="33"/>
      <c r="E101" s="32"/>
      <c r="F101" s="21"/>
      <c r="G101" s="21"/>
      <c r="H101" s="21"/>
    </row>
    <row r="102" spans="2:8" ht="14.5">
      <c r="B102" s="33"/>
      <c r="C102" s="33"/>
      <c r="D102" s="33"/>
      <c r="E102" s="32"/>
      <c r="F102" s="21"/>
      <c r="G102" s="21"/>
      <c r="H102" s="21"/>
    </row>
    <row r="103" spans="2:8" ht="14.5">
      <c r="B103" s="33"/>
      <c r="C103" s="33"/>
      <c r="D103" s="33"/>
      <c r="E103" s="32"/>
      <c r="F103" s="21"/>
      <c r="G103" s="21"/>
      <c r="H103" s="21"/>
    </row>
    <row r="104" spans="2:8" ht="14.5">
      <c r="B104" s="33"/>
      <c r="C104" s="33"/>
      <c r="D104" s="33"/>
      <c r="E104" s="32"/>
      <c r="F104" s="21"/>
      <c r="G104" s="21"/>
      <c r="H104" s="21"/>
    </row>
    <row r="105" spans="2:8" ht="14.5">
      <c r="B105" s="33"/>
      <c r="C105" s="33"/>
      <c r="D105" s="33"/>
      <c r="E105" s="32"/>
      <c r="F105" s="21"/>
      <c r="G105" s="21"/>
      <c r="H105" s="21"/>
    </row>
    <row r="106" spans="2:8" ht="14.5">
      <c r="B106" s="33"/>
      <c r="C106" s="33"/>
      <c r="D106" s="33"/>
      <c r="E106" s="32"/>
      <c r="F106" s="21"/>
      <c r="G106" s="21"/>
      <c r="H106" s="21"/>
    </row>
    <row r="107" spans="2:8" ht="14.5">
      <c r="B107" s="31"/>
      <c r="C107" s="31"/>
      <c r="D107" s="31"/>
      <c r="E107" s="36"/>
      <c r="F107" s="36"/>
      <c r="G107" s="36"/>
      <c r="H107" s="36"/>
    </row>
  </sheetData>
  <mergeCells count="11">
    <mergeCell ref="BA6:BD6"/>
    <mergeCell ref="AV6:AY6"/>
    <mergeCell ref="AQ6:AT6"/>
    <mergeCell ref="AL6:AO6"/>
    <mergeCell ref="B93:F93"/>
    <mergeCell ref="P6:U6"/>
    <mergeCell ref="E6:H6"/>
    <mergeCell ref="J6:N6"/>
    <mergeCell ref="W6:Z6"/>
    <mergeCell ref="AB6:AE6"/>
    <mergeCell ref="AG6:AJ6"/>
  </mergeCells>
  <printOptions horizontalCentered="1"/>
  <pageMargins left="0.27" right="0.22" top="0.63" bottom="0.34" header="0" footer="0"/>
  <pageSetup scale="38" orientation="landscape" r:id="rId1"/>
  <headerFooter alignWithMargins="0"/>
  <customProperties>
    <customPr name="EpmWorksheetKeyString_GUID" r:id="rId2"/>
  </customPropertie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D3CD2-11CD-403E-AADE-04530906B9A7}">
  <dimension ref="B1:BG77"/>
  <sheetViews>
    <sheetView showGridLines="0" topLeftCell="B1" zoomScaleNormal="100" workbookViewId="0">
      <pane xSplit="1" ySplit="9" topLeftCell="BD41" activePane="bottomRight" state="frozen"/>
      <selection activeCell="D38" sqref="D38"/>
      <selection pane="topRight" activeCell="D38" sqref="D38"/>
      <selection pane="bottomLeft" activeCell="D38" sqref="D38"/>
      <selection pane="bottomRight" activeCell="BI22" sqref="BI22"/>
    </sheetView>
  </sheetViews>
  <sheetFormatPr baseColWidth="10" defaultColWidth="13" defaultRowHeight="16.5" customHeight="1"/>
  <cols>
    <col min="1" max="1" width="2.26953125" style="1" customWidth="1"/>
    <col min="2" max="2" width="46.08984375" style="1" bestFit="1" customWidth="1"/>
    <col min="3" max="3" width="9.6328125" style="1" bestFit="1" customWidth="1"/>
    <col min="4" max="4" width="8.7265625" style="1" bestFit="1" customWidth="1"/>
    <col min="5" max="6" width="8.6328125" style="1" bestFit="1" customWidth="1"/>
    <col min="7" max="7" width="1.26953125" style="1" customWidth="1"/>
    <col min="8" max="11" width="8.6328125" style="1" bestFit="1" customWidth="1"/>
    <col min="12" max="12" width="11.7265625" style="1" bestFit="1" customWidth="1"/>
    <col min="13" max="13" width="1.26953125" style="1" customWidth="1"/>
    <col min="14" max="14" width="8.6328125" style="1" bestFit="1" customWidth="1"/>
    <col min="15" max="15" width="12.36328125" style="1" bestFit="1" customWidth="1"/>
    <col min="16" max="16" width="8.6328125" style="1" bestFit="1" customWidth="1"/>
    <col min="17" max="17" width="12.26953125" style="1" bestFit="1" customWidth="1"/>
    <col min="18" max="18" width="8.6328125" style="1" bestFit="1" customWidth="1"/>
    <col min="19" max="19" width="12.36328125" style="1" bestFit="1" customWidth="1"/>
    <col min="20" max="20" width="8.6328125" style="1" bestFit="1" customWidth="1"/>
    <col min="21" max="21" width="13" style="1" customWidth="1"/>
    <col min="22" max="22" width="1.6328125" style="1" customWidth="1"/>
    <col min="23" max="23" width="8.6328125" style="1" bestFit="1" customWidth="1"/>
    <col min="24" max="24" width="8.6328125" style="1" customWidth="1"/>
    <col min="25" max="25" width="8.7265625" style="1" bestFit="1" customWidth="1"/>
    <col min="26" max="26" width="8.7265625" style="1" customWidth="1"/>
    <col min="27" max="27" width="8.6328125" style="249" bestFit="1" customWidth="1"/>
    <col min="28" max="28" width="8.6328125" style="249" customWidth="1"/>
    <col min="29" max="29" width="8.6328125" style="1" bestFit="1" customWidth="1"/>
    <col min="30" max="30" width="4.81640625" style="1" customWidth="1"/>
    <col min="31" max="31" width="8.6328125" style="1" bestFit="1" customWidth="1"/>
    <col min="32" max="32" width="8.7265625" style="1" bestFit="1" customWidth="1"/>
    <col min="33" max="33" width="8.6328125" style="249" bestFit="1" customWidth="1"/>
    <col min="34" max="34" width="8.6328125" style="1" bestFit="1" customWidth="1"/>
    <col min="35" max="35" width="4.36328125" style="1" customWidth="1"/>
    <col min="36" max="36" width="8.6328125" style="1" bestFit="1" customWidth="1"/>
    <col min="37" max="37" width="8.7265625" style="1" bestFit="1" customWidth="1"/>
    <col min="38" max="38" width="8.6328125" style="249" bestFit="1" customWidth="1"/>
    <col min="39" max="39" width="8.6328125" style="1" bestFit="1" customWidth="1"/>
    <col min="40" max="40" width="4.36328125" style="1" customWidth="1"/>
    <col min="41" max="41" width="8.6328125" style="1" bestFit="1" customWidth="1"/>
    <col min="42" max="42" width="8.7265625" style="1" bestFit="1" customWidth="1"/>
    <col min="43" max="43" width="8.6328125" style="249" customWidth="1"/>
    <col min="44" max="44" width="9.7265625" style="1" bestFit="1" customWidth="1"/>
    <col min="45" max="45" width="4.36328125" style="1" customWidth="1"/>
    <col min="46" max="49" width="13" style="1"/>
    <col min="50" max="50" width="4.36328125" style="1" customWidth="1"/>
    <col min="51" max="54" width="13" style="1"/>
    <col min="55" max="55" width="4.36328125" style="1" customWidth="1"/>
    <col min="56" max="16384" width="13" style="1"/>
  </cols>
  <sheetData>
    <row r="1" spans="2:59" ht="22.5">
      <c r="B1" s="264" t="s">
        <v>0</v>
      </c>
      <c r="C1" s="2"/>
      <c r="D1" s="2"/>
      <c r="E1" s="2"/>
      <c r="F1" s="2"/>
      <c r="G1" s="2"/>
      <c r="H1" s="2"/>
      <c r="I1" s="2"/>
    </row>
    <row r="2" spans="2:59" ht="19">
      <c r="B2" s="265" t="s">
        <v>50</v>
      </c>
      <c r="C2" s="2"/>
      <c r="D2" s="2"/>
      <c r="E2" s="2"/>
      <c r="F2" s="2"/>
      <c r="G2" s="2"/>
      <c r="H2" s="2"/>
      <c r="I2" s="2"/>
    </row>
    <row r="3" spans="2:59" ht="14.5">
      <c r="B3" s="263" t="s">
        <v>40</v>
      </c>
      <c r="AT3" s="269"/>
    </row>
    <row r="4" spans="2:59" ht="12.75" customHeight="1">
      <c r="B4" s="138"/>
      <c r="C4" s="138"/>
      <c r="D4" s="138"/>
      <c r="E4" s="138"/>
      <c r="F4" s="138"/>
      <c r="AR4" s="4"/>
      <c r="AV4" s="4"/>
      <c r="BD4" s="4"/>
    </row>
    <row r="5" spans="2:59" ht="12.75" customHeight="1" thickBot="1">
      <c r="B5" s="138"/>
      <c r="C5" s="138"/>
      <c r="D5" s="138"/>
      <c r="E5" s="138"/>
      <c r="F5" s="138"/>
      <c r="Z5" s="249"/>
      <c r="AF5" s="249"/>
      <c r="AK5" s="249"/>
      <c r="AP5" s="249"/>
    </row>
    <row r="6" spans="2:59" ht="23.25" customHeight="1" thickTop="1" thickBot="1">
      <c r="B6" s="138"/>
      <c r="C6" s="391" t="s">
        <v>101</v>
      </c>
      <c r="D6" s="392"/>
      <c r="E6" s="392"/>
      <c r="F6" s="393"/>
      <c r="G6" s="11"/>
      <c r="H6" s="391" t="s">
        <v>102</v>
      </c>
      <c r="I6" s="392"/>
      <c r="J6" s="392"/>
      <c r="K6" s="392"/>
      <c r="L6" s="393"/>
      <c r="N6" s="388" t="s">
        <v>176</v>
      </c>
      <c r="O6" s="389"/>
      <c r="P6" s="389"/>
      <c r="Q6" s="389"/>
      <c r="R6" s="389"/>
      <c r="S6" s="389"/>
      <c r="T6" s="389"/>
      <c r="U6" s="390"/>
      <c r="W6" s="374" t="s">
        <v>193</v>
      </c>
      <c r="X6" s="375"/>
      <c r="Y6" s="375"/>
      <c r="Z6" s="375"/>
      <c r="AA6" s="375"/>
      <c r="AB6" s="375"/>
      <c r="AC6" s="376"/>
      <c r="AE6" s="374" t="s">
        <v>229</v>
      </c>
      <c r="AF6" s="375"/>
      <c r="AG6" s="375"/>
      <c r="AH6" s="376"/>
      <c r="AJ6" s="374" t="s">
        <v>250</v>
      </c>
      <c r="AK6" s="375"/>
      <c r="AL6" s="375"/>
      <c r="AM6" s="376"/>
      <c r="AO6" s="374" t="s">
        <v>285</v>
      </c>
      <c r="AP6" s="375"/>
      <c r="AQ6" s="375"/>
      <c r="AR6" s="376"/>
      <c r="AT6" s="374" t="s">
        <v>297</v>
      </c>
      <c r="AU6" s="375"/>
      <c r="AV6" s="375"/>
      <c r="AW6" s="376"/>
      <c r="AY6" s="365" t="s">
        <v>318</v>
      </c>
      <c r="AZ6" s="364"/>
      <c r="BA6" s="364"/>
      <c r="BB6" s="364"/>
      <c r="BD6" s="364" t="s">
        <v>352</v>
      </c>
      <c r="BE6" s="364"/>
      <c r="BF6" s="364"/>
      <c r="BG6" s="364"/>
    </row>
    <row r="7" spans="2:59" ht="5.25" customHeight="1" thickTop="1" thickBot="1">
      <c r="B7" s="16"/>
      <c r="C7" s="19"/>
      <c r="D7" s="19"/>
      <c r="E7" s="19"/>
      <c r="F7" s="19"/>
      <c r="G7" s="19"/>
      <c r="H7" s="19"/>
      <c r="I7" s="19"/>
      <c r="N7" s="19"/>
      <c r="O7" s="19"/>
      <c r="AV7" s="267"/>
    </row>
    <row r="8" spans="2:59" ht="36.75" customHeight="1" thickTop="1" thickBot="1">
      <c r="C8" s="139" t="s">
        <v>99</v>
      </c>
      <c r="D8" s="139" t="s">
        <v>82</v>
      </c>
      <c r="E8" s="139" t="s">
        <v>128</v>
      </c>
      <c r="F8" s="139" t="s">
        <v>152</v>
      </c>
      <c r="H8" s="139" t="s">
        <v>98</v>
      </c>
      <c r="I8" s="139" t="s">
        <v>78</v>
      </c>
      <c r="J8" s="139" t="s">
        <v>129</v>
      </c>
      <c r="K8" s="139" t="s">
        <v>153</v>
      </c>
      <c r="L8" s="139" t="s">
        <v>185</v>
      </c>
      <c r="N8" s="139" t="s">
        <v>177</v>
      </c>
      <c r="O8" s="139" t="s">
        <v>195</v>
      </c>
      <c r="P8" s="139" t="s">
        <v>178</v>
      </c>
      <c r="Q8" s="139" t="s">
        <v>208</v>
      </c>
      <c r="R8" s="139" t="s">
        <v>182</v>
      </c>
      <c r="S8" s="139" t="s">
        <v>211</v>
      </c>
      <c r="T8" s="120" t="s">
        <v>186</v>
      </c>
      <c r="U8" s="120" t="s">
        <v>226</v>
      </c>
      <c r="W8" s="139" t="s">
        <v>194</v>
      </c>
      <c r="X8" s="139" t="s">
        <v>233</v>
      </c>
      <c r="Y8" s="120" t="s">
        <v>209</v>
      </c>
      <c r="Z8" s="120" t="s">
        <v>248</v>
      </c>
      <c r="AA8" s="120" t="s">
        <v>212</v>
      </c>
      <c r="AB8" s="120" t="s">
        <v>249</v>
      </c>
      <c r="AC8" s="120" t="s">
        <v>220</v>
      </c>
      <c r="AE8" s="139" t="s">
        <v>230</v>
      </c>
      <c r="AF8" s="120" t="s">
        <v>234</v>
      </c>
      <c r="AG8" s="120" t="s">
        <v>235</v>
      </c>
      <c r="AH8" s="120" t="s">
        <v>236</v>
      </c>
      <c r="AJ8" s="139" t="s">
        <v>253</v>
      </c>
      <c r="AK8" s="120" t="s">
        <v>255</v>
      </c>
      <c r="AL8" s="120" t="s">
        <v>256</v>
      </c>
      <c r="AM8" s="120" t="s">
        <v>257</v>
      </c>
      <c r="AO8" s="139" t="s">
        <v>286</v>
      </c>
      <c r="AP8" s="120" t="s">
        <v>288</v>
      </c>
      <c r="AQ8" s="120" t="s">
        <v>289</v>
      </c>
      <c r="AR8" s="120" t="s">
        <v>290</v>
      </c>
      <c r="AT8" s="139" t="s">
        <v>299</v>
      </c>
      <c r="AU8" s="120" t="s">
        <v>303</v>
      </c>
      <c r="AV8" s="120" t="s">
        <v>306</v>
      </c>
      <c r="AW8" s="120" t="s">
        <v>308</v>
      </c>
      <c r="AY8" s="139" t="s">
        <v>319</v>
      </c>
      <c r="AZ8" s="120" t="s">
        <v>322</v>
      </c>
      <c r="BA8" s="120" t="s">
        <v>335</v>
      </c>
      <c r="BB8" s="120" t="s">
        <v>340</v>
      </c>
      <c r="BD8" s="139" t="s">
        <v>355</v>
      </c>
      <c r="BE8" s="139" t="s">
        <v>363</v>
      </c>
      <c r="BF8" s="139" t="s">
        <v>378</v>
      </c>
      <c r="BG8" s="120" t="s">
        <v>380</v>
      </c>
    </row>
    <row r="9" spans="2:59" ht="9.75" customHeight="1" thickTop="1">
      <c r="AQ9" s="261"/>
    </row>
    <row r="10" spans="2:59" ht="16.5" customHeight="1">
      <c r="B10" s="2" t="s">
        <v>141</v>
      </c>
      <c r="C10" s="229">
        <f>SUM(C12:C14)</f>
        <v>235101</v>
      </c>
      <c r="D10" s="229">
        <f>SUM(D12:D14)</f>
        <v>209590</v>
      </c>
      <c r="E10" s="229">
        <f>SUM(E12:E14)</f>
        <v>117690</v>
      </c>
      <c r="F10" s="229">
        <f>SUM(F12:F14)</f>
        <v>73531</v>
      </c>
      <c r="G10" s="230"/>
      <c r="H10" s="229">
        <f>SUM(H12:H14)</f>
        <v>125842</v>
      </c>
      <c r="I10" s="229">
        <f>SUM(I12:I14)</f>
        <v>170893</v>
      </c>
      <c r="J10" s="229">
        <f>SUM(J12:J14)</f>
        <v>695413</v>
      </c>
      <c r="K10" s="229">
        <f>SUM(K12:K14)</f>
        <v>104633</v>
      </c>
      <c r="L10" s="229">
        <f>SUM(L12:L14)</f>
        <v>152209</v>
      </c>
      <c r="N10" s="229">
        <f t="shared" ref="N10:U10" si="0">SUM(N12:N14)</f>
        <v>167794</v>
      </c>
      <c r="O10" s="229">
        <f t="shared" si="0"/>
        <v>161658</v>
      </c>
      <c r="P10" s="229">
        <f t="shared" si="0"/>
        <v>114531</v>
      </c>
      <c r="Q10" s="229">
        <f t="shared" si="0"/>
        <v>120347</v>
      </c>
      <c r="R10" s="229">
        <f t="shared" si="0"/>
        <v>192922</v>
      </c>
      <c r="S10" s="229">
        <f t="shared" si="0"/>
        <v>213722</v>
      </c>
      <c r="T10" s="229">
        <f t="shared" si="0"/>
        <v>622176</v>
      </c>
      <c r="U10" s="229">
        <f t="shared" si="0"/>
        <v>615759</v>
      </c>
      <c r="W10" s="229">
        <f t="shared" ref="W10:AC10" si="1">SUM(W12:W14)</f>
        <v>175924</v>
      </c>
      <c r="X10" s="229">
        <f t="shared" si="1"/>
        <v>178603</v>
      </c>
      <c r="Y10" s="229">
        <f t="shared" si="1"/>
        <v>211148</v>
      </c>
      <c r="Z10" s="229">
        <f t="shared" si="1"/>
        <v>212572</v>
      </c>
      <c r="AA10" s="229">
        <f t="shared" si="1"/>
        <v>754550</v>
      </c>
      <c r="AB10" s="229">
        <f t="shared" si="1"/>
        <v>754879</v>
      </c>
      <c r="AC10" s="229">
        <f t="shared" si="1"/>
        <v>48575</v>
      </c>
      <c r="AD10" s="4"/>
      <c r="AE10" s="229">
        <f t="shared" ref="AE10:AH10" si="2">SUM(AE12:AE14)</f>
        <v>851032</v>
      </c>
      <c r="AF10" s="229">
        <f t="shared" si="2"/>
        <v>98531</v>
      </c>
      <c r="AG10" s="229">
        <f t="shared" si="2"/>
        <v>246268</v>
      </c>
      <c r="AH10" s="229">
        <f t="shared" si="2"/>
        <v>183871</v>
      </c>
      <c r="AI10" s="4"/>
      <c r="AJ10" s="229">
        <f t="shared" ref="AJ10:AM10" si="3">SUM(AJ12:AJ14)</f>
        <v>307663</v>
      </c>
      <c r="AK10" s="229">
        <f t="shared" si="3"/>
        <v>96284</v>
      </c>
      <c r="AL10" s="229">
        <f t="shared" si="3"/>
        <v>256360</v>
      </c>
      <c r="AM10" s="229">
        <f t="shared" si="3"/>
        <v>185303</v>
      </c>
      <c r="AN10" s="4"/>
      <c r="AO10" s="229">
        <f t="shared" ref="AO10:AQ10" si="4">SUM(AO12:AO14)</f>
        <v>200250</v>
      </c>
      <c r="AP10" s="229">
        <f t="shared" si="4"/>
        <v>28378</v>
      </c>
      <c r="AQ10" s="229">
        <f t="shared" si="4"/>
        <v>24164</v>
      </c>
      <c r="AR10" s="229">
        <f t="shared" ref="AR10" si="5">SUM(AR12:AR14)</f>
        <v>3515</v>
      </c>
      <c r="AS10" s="6"/>
      <c r="AT10" s="229">
        <f t="shared" ref="AT10:AV10" si="6">SUM(AT12:AT14)</f>
        <v>189150</v>
      </c>
      <c r="AU10" s="229">
        <f t="shared" si="6"/>
        <v>219482</v>
      </c>
      <c r="AV10" s="229">
        <f t="shared" si="6"/>
        <v>170941</v>
      </c>
      <c r="AW10" s="229">
        <f>SUM(AW12:AW14)</f>
        <v>73187</v>
      </c>
      <c r="AX10" s="6"/>
      <c r="AY10" s="229">
        <f t="shared" ref="AY10:AZ10" si="7">SUM(AY12:AY14)</f>
        <v>284711</v>
      </c>
      <c r="AZ10" s="229">
        <f t="shared" si="7"/>
        <v>172052</v>
      </c>
      <c r="BA10" s="229">
        <v>166310</v>
      </c>
      <c r="BB10" s="229">
        <f>SUM(BB12:BB14)</f>
        <v>156113</v>
      </c>
      <c r="BC10" s="6"/>
      <c r="BD10" s="229">
        <v>429027</v>
      </c>
      <c r="BE10" s="229">
        <v>555170</v>
      </c>
      <c r="BF10" s="229">
        <v>269786</v>
      </c>
      <c r="BG10" s="229">
        <v>173233</v>
      </c>
    </row>
    <row r="11" spans="2:59" s="234" customFormat="1" ht="15.75" hidden="1" customHeight="1">
      <c r="B11" s="231" t="s">
        <v>48</v>
      </c>
      <c r="C11" s="232">
        <v>116</v>
      </c>
      <c r="D11" s="232">
        <v>113.54</v>
      </c>
      <c r="E11" s="232">
        <v>61.74</v>
      </c>
      <c r="F11" s="232">
        <v>32.630000000000003</v>
      </c>
      <c r="G11" s="233"/>
      <c r="H11" s="232">
        <v>47.65</v>
      </c>
      <c r="I11" s="232">
        <v>68.72</v>
      </c>
      <c r="J11" s="232">
        <v>230.82</v>
      </c>
      <c r="K11" s="232">
        <f>36.15-(3726/3244.51)</f>
        <v>35.001598546467726</v>
      </c>
      <c r="L11" s="232">
        <v>-347.18999999999994</v>
      </c>
      <c r="N11" s="232">
        <v>47.65</v>
      </c>
      <c r="O11" s="232">
        <v>47.65</v>
      </c>
      <c r="P11" s="232">
        <v>47.65</v>
      </c>
      <c r="Q11" s="232"/>
      <c r="R11" s="232">
        <v>47.65</v>
      </c>
      <c r="S11" s="232"/>
      <c r="T11" s="232">
        <v>47.65</v>
      </c>
      <c r="U11" s="232">
        <v>47.65</v>
      </c>
      <c r="W11" s="232">
        <v>47.65</v>
      </c>
      <c r="X11" s="232">
        <v>47.65</v>
      </c>
      <c r="AD11" s="4"/>
      <c r="AE11" s="232">
        <v>47.65</v>
      </c>
      <c r="AJ11" s="232">
        <v>47.65</v>
      </c>
      <c r="AO11" s="232">
        <v>47.65</v>
      </c>
      <c r="AT11" s="232">
        <v>47.65</v>
      </c>
      <c r="AY11" s="232">
        <v>47.65</v>
      </c>
      <c r="BD11" s="232"/>
      <c r="BE11" s="232"/>
      <c r="BF11" s="232"/>
    </row>
    <row r="12" spans="2:59" ht="16.5" customHeight="1">
      <c r="B12" s="8" t="s">
        <v>49</v>
      </c>
      <c r="C12" s="4">
        <v>129401</v>
      </c>
      <c r="D12" s="4">
        <v>100450</v>
      </c>
      <c r="E12" s="4">
        <v>80766</v>
      </c>
      <c r="F12" s="4">
        <f>31086-61+1</f>
        <v>31026</v>
      </c>
      <c r="H12" s="4">
        <v>106670</v>
      </c>
      <c r="I12" s="4">
        <v>88091</v>
      </c>
      <c r="J12" s="4">
        <v>602770</v>
      </c>
      <c r="K12" s="4">
        <v>536</v>
      </c>
      <c r="L12" s="4">
        <v>536</v>
      </c>
      <c r="N12" s="4">
        <v>88813</v>
      </c>
      <c r="O12" s="4">
        <v>88813</v>
      </c>
      <c r="P12" s="4">
        <v>77</v>
      </c>
      <c r="Q12" s="4">
        <v>77</v>
      </c>
      <c r="R12" s="4">
        <v>85637</v>
      </c>
      <c r="S12" s="4">
        <v>85637</v>
      </c>
      <c r="T12" s="4">
        <v>369974</v>
      </c>
      <c r="U12" s="4">
        <v>369974</v>
      </c>
      <c r="W12" s="4">
        <v>87695</v>
      </c>
      <c r="X12" s="4">
        <v>87695</v>
      </c>
      <c r="Y12" s="122">
        <v>66801</v>
      </c>
      <c r="Z12" s="122">
        <v>66802</v>
      </c>
      <c r="AA12" s="4">
        <v>505036</v>
      </c>
      <c r="AB12" s="4">
        <f>505036-1</f>
        <v>505035</v>
      </c>
      <c r="AC12" s="122">
        <v>0</v>
      </c>
      <c r="AD12" s="4"/>
      <c r="AE12" s="4">
        <v>748656</v>
      </c>
      <c r="AF12" s="122">
        <v>0</v>
      </c>
      <c r="AG12" s="122">
        <v>0</v>
      </c>
      <c r="AH12" s="122">
        <v>2807</v>
      </c>
      <c r="AI12" s="4"/>
      <c r="AJ12" s="4">
        <v>222023</v>
      </c>
      <c r="AK12" s="122">
        <v>0</v>
      </c>
      <c r="AL12" s="122">
        <v>0</v>
      </c>
      <c r="AM12" s="122">
        <v>0</v>
      </c>
      <c r="AN12" s="4"/>
      <c r="AO12" s="4">
        <v>148038</v>
      </c>
      <c r="AP12" s="122">
        <v>49</v>
      </c>
      <c r="AQ12" s="122">
        <v>835</v>
      </c>
      <c r="AR12" s="122">
        <v>-835</v>
      </c>
      <c r="AS12" s="124"/>
      <c r="AT12" s="4">
        <v>110035</v>
      </c>
      <c r="AU12" s="122">
        <v>1194</v>
      </c>
      <c r="AV12" s="122">
        <v>0</v>
      </c>
      <c r="AW12" s="122">
        <v>10</v>
      </c>
      <c r="AX12" s="124"/>
      <c r="AY12" s="4">
        <v>142382</v>
      </c>
      <c r="AZ12" s="122">
        <v>72</v>
      </c>
      <c r="BA12" s="122">
        <v>0</v>
      </c>
      <c r="BB12" s="122">
        <v>0</v>
      </c>
      <c r="BC12" s="124"/>
      <c r="BD12" s="4">
        <v>223757</v>
      </c>
      <c r="BE12" s="4">
        <v>274588</v>
      </c>
      <c r="BF12" s="4">
        <v>0</v>
      </c>
      <c r="BG12" s="122">
        <v>119877</v>
      </c>
    </row>
    <row r="13" spans="2:59" ht="16.5" customHeight="1">
      <c r="B13" s="8" t="s">
        <v>27</v>
      </c>
      <c r="C13" s="4">
        <v>28577</v>
      </c>
      <c r="D13" s="4">
        <v>15304</v>
      </c>
      <c r="E13" s="4">
        <v>7054</v>
      </c>
      <c r="F13" s="4">
        <v>18409</v>
      </c>
      <c r="G13" s="2"/>
      <c r="H13" s="4">
        <f>12337+1</f>
        <v>12338</v>
      </c>
      <c r="I13" s="4">
        <f>17460-1</f>
        <v>17459</v>
      </c>
      <c r="J13" s="4">
        <v>46930</v>
      </c>
      <c r="K13" s="4">
        <v>53873</v>
      </c>
      <c r="L13" s="4">
        <v>98620</v>
      </c>
      <c r="N13" s="4">
        <v>38513</v>
      </c>
      <c r="O13" s="4">
        <v>38513</v>
      </c>
      <c r="P13" s="4">
        <v>8075</v>
      </c>
      <c r="Q13" s="4">
        <v>8075</v>
      </c>
      <c r="R13" s="4">
        <v>29910</v>
      </c>
      <c r="S13" s="4">
        <v>29910</v>
      </c>
      <c r="T13" s="4">
        <v>123584</v>
      </c>
      <c r="U13" s="4">
        <f>123584+7228</f>
        <v>130812</v>
      </c>
      <c r="W13" s="4">
        <v>2628</v>
      </c>
      <c r="X13" s="4">
        <v>2680</v>
      </c>
      <c r="Y13" s="122">
        <v>43623</v>
      </c>
      <c r="Z13" s="122">
        <f>43623+528</f>
        <v>44151</v>
      </c>
      <c r="AA13" s="4">
        <v>174327</v>
      </c>
      <c r="AB13" s="4">
        <f>174327+5135</f>
        <v>179462</v>
      </c>
      <c r="AC13" s="4">
        <v>39876</v>
      </c>
      <c r="AD13" s="4"/>
      <c r="AE13" s="4">
        <v>26678</v>
      </c>
      <c r="AF13" s="122">
        <v>29779</v>
      </c>
      <c r="AG13" s="122">
        <v>30591</v>
      </c>
      <c r="AH13" s="122">
        <v>105122</v>
      </c>
      <c r="AI13" s="4"/>
      <c r="AJ13" s="4">
        <v>29099</v>
      </c>
      <c r="AK13" s="122">
        <v>30889</v>
      </c>
      <c r="AL13" s="122">
        <v>43447</v>
      </c>
      <c r="AM13" s="122">
        <v>86250</v>
      </c>
      <c r="AN13" s="4"/>
      <c r="AO13" s="4">
        <v>38335</v>
      </c>
      <c r="AP13" s="122">
        <v>46479</v>
      </c>
      <c r="AQ13" s="122">
        <v>13191</v>
      </c>
      <c r="AR13" s="122">
        <v>44139</v>
      </c>
      <c r="AS13" s="124"/>
      <c r="AT13" s="4">
        <v>29032</v>
      </c>
      <c r="AU13" s="122">
        <v>111698</v>
      </c>
      <c r="AV13" s="122">
        <v>42829</v>
      </c>
      <c r="AW13" s="122">
        <v>54925</v>
      </c>
      <c r="AX13" s="124"/>
      <c r="AY13" s="4">
        <v>75266</v>
      </c>
      <c r="AZ13" s="122">
        <v>89821</v>
      </c>
      <c r="BA13" s="122">
        <v>35219</v>
      </c>
      <c r="BB13" s="122">
        <v>98545</v>
      </c>
      <c r="BC13" s="124"/>
      <c r="BD13" s="4">
        <v>115264</v>
      </c>
      <c r="BE13" s="4">
        <v>47454</v>
      </c>
      <c r="BF13" s="4">
        <v>75740</v>
      </c>
      <c r="BG13" s="122">
        <v>68322</v>
      </c>
    </row>
    <row r="14" spans="2:59" ht="12.5">
      <c r="B14" s="8" t="s">
        <v>158</v>
      </c>
      <c r="C14" s="4">
        <v>77123</v>
      </c>
      <c r="D14" s="4">
        <v>93836</v>
      </c>
      <c r="E14" s="4">
        <v>29870</v>
      </c>
      <c r="F14" s="4">
        <v>24096</v>
      </c>
      <c r="H14" s="4">
        <f>6835-1</f>
        <v>6834</v>
      </c>
      <c r="I14" s="4">
        <f>65342+1</f>
        <v>65343</v>
      </c>
      <c r="J14" s="4">
        <v>45713</v>
      </c>
      <c r="K14" s="4">
        <f>53950-3726</f>
        <v>50224</v>
      </c>
      <c r="L14" s="4">
        <v>53053</v>
      </c>
      <c r="N14" s="4">
        <v>40468</v>
      </c>
      <c r="O14" s="4">
        <v>34332</v>
      </c>
      <c r="P14" s="4">
        <v>106379</v>
      </c>
      <c r="Q14" s="4">
        <v>112195</v>
      </c>
      <c r="R14" s="4">
        <v>77375</v>
      </c>
      <c r="S14" s="4">
        <v>98175</v>
      </c>
      <c r="T14" s="4">
        <v>128618</v>
      </c>
      <c r="U14" s="4">
        <f>108138-1229-4483+12547</f>
        <v>114973</v>
      </c>
      <c r="W14" s="4">
        <v>85601</v>
      </c>
      <c r="X14" s="4">
        <v>88228</v>
      </c>
      <c r="Y14" s="122">
        <v>100724</v>
      </c>
      <c r="Z14" s="122">
        <f>100724+895</f>
        <v>101619</v>
      </c>
      <c r="AA14" s="4">
        <v>75187</v>
      </c>
      <c r="AB14" s="4">
        <f>75187-4805</f>
        <v>70382</v>
      </c>
      <c r="AC14" s="4">
        <v>8699</v>
      </c>
      <c r="AD14" s="4"/>
      <c r="AE14" s="4">
        <v>75698</v>
      </c>
      <c r="AF14" s="122">
        <v>68752</v>
      </c>
      <c r="AG14" s="122">
        <f>198108+17569</f>
        <v>215677</v>
      </c>
      <c r="AH14" s="122">
        <v>75942</v>
      </c>
      <c r="AI14" s="4"/>
      <c r="AJ14" s="4">
        <v>56541</v>
      </c>
      <c r="AK14" s="122">
        <v>65395</v>
      </c>
      <c r="AL14" s="122">
        <v>212913</v>
      </c>
      <c r="AM14" s="122">
        <v>99053</v>
      </c>
      <c r="AN14" s="4"/>
      <c r="AO14" s="4">
        <v>13877</v>
      </c>
      <c r="AP14" s="122">
        <v>-18150</v>
      </c>
      <c r="AQ14" s="122">
        <v>10138</v>
      </c>
      <c r="AR14" s="124">
        <f>-48101+555+4929+2827+1</f>
        <v>-39789</v>
      </c>
      <c r="AS14" s="124"/>
      <c r="AT14" s="4">
        <v>50083</v>
      </c>
      <c r="AU14" s="124">
        <v>106590</v>
      </c>
      <c r="AV14" s="124">
        <v>128112</v>
      </c>
      <c r="AW14" s="124">
        <v>18252</v>
      </c>
      <c r="AX14" s="124"/>
      <c r="AY14" s="4">
        <v>67063</v>
      </c>
      <c r="AZ14" s="124">
        <v>82159</v>
      </c>
      <c r="BA14" s="124">
        <v>131091</v>
      </c>
      <c r="BB14" s="124">
        <v>57568</v>
      </c>
      <c r="BC14" s="124"/>
      <c r="BD14" s="4">
        <v>90006</v>
      </c>
      <c r="BE14" s="4">
        <v>233128</v>
      </c>
      <c r="BF14" s="4">
        <v>194046</v>
      </c>
      <c r="BG14" s="124">
        <v>-14966</v>
      </c>
    </row>
    <row r="15" spans="2:59" ht="8.25" customHeight="1">
      <c r="C15" s="199"/>
      <c r="D15" s="199"/>
      <c r="E15" s="199"/>
      <c r="F15" s="199"/>
      <c r="H15" s="199"/>
      <c r="I15" s="199"/>
      <c r="J15" s="199"/>
      <c r="K15" s="199"/>
      <c r="L15" s="199"/>
      <c r="N15" s="199"/>
      <c r="O15" s="199"/>
      <c r="P15" s="199"/>
      <c r="Q15" s="199"/>
      <c r="R15" s="199"/>
      <c r="S15" s="199"/>
      <c r="T15" s="199"/>
      <c r="U15" s="199"/>
      <c r="W15" s="199"/>
      <c r="X15" s="199"/>
      <c r="AC15" s="122"/>
      <c r="AD15" s="4"/>
      <c r="AE15" s="199"/>
      <c r="AF15" s="122"/>
      <c r="AG15" s="122"/>
      <c r="AH15" s="122"/>
      <c r="AI15" s="4"/>
      <c r="AJ15" s="199"/>
      <c r="AK15" s="122"/>
      <c r="AL15" s="122"/>
      <c r="AM15" s="122"/>
      <c r="AN15" s="4"/>
      <c r="AO15" s="199"/>
      <c r="AP15" s="122"/>
      <c r="AQ15" s="122"/>
      <c r="AR15" s="122"/>
      <c r="AS15" s="124"/>
      <c r="AT15" s="199"/>
      <c r="AU15" s="122"/>
      <c r="AV15" s="122"/>
      <c r="AW15" s="122"/>
      <c r="AX15" s="124"/>
      <c r="AY15" s="199"/>
      <c r="AZ15" s="122"/>
      <c r="BA15" s="122"/>
      <c r="BB15" s="122"/>
      <c r="BC15" s="124"/>
      <c r="BD15" s="199"/>
      <c r="BE15" s="199"/>
      <c r="BF15" s="199"/>
      <c r="BG15" s="122"/>
    </row>
    <row r="16" spans="2:59" ht="16.5" customHeight="1">
      <c r="B16" s="2" t="s">
        <v>26</v>
      </c>
      <c r="C16" s="6">
        <f>SUM(C17:C18)</f>
        <v>43387</v>
      </c>
      <c r="D16" s="6">
        <f>SUM(D17:D18)</f>
        <v>118045</v>
      </c>
      <c r="E16" s="6">
        <f>SUM(E17:E18)</f>
        <v>66308</v>
      </c>
      <c r="F16" s="6">
        <f>SUM(F17:F18)</f>
        <v>55712</v>
      </c>
      <c r="H16" s="6">
        <f>SUM(H17:H18)</f>
        <v>883</v>
      </c>
      <c r="I16" s="6">
        <f>SUM(I17:I18)</f>
        <v>45227</v>
      </c>
      <c r="J16" s="6">
        <f>SUM(J17:J18)</f>
        <v>331494</v>
      </c>
      <c r="K16" s="6">
        <f>SUM(K17:K18)</f>
        <v>92559</v>
      </c>
      <c r="L16" s="6">
        <f t="shared" ref="L16:U16" si="8">SUM(L17:L18)</f>
        <v>94234</v>
      </c>
      <c r="M16" s="6">
        <f t="shared" si="8"/>
        <v>0</v>
      </c>
      <c r="N16" s="6">
        <f t="shared" si="8"/>
        <v>2687</v>
      </c>
      <c r="O16" s="6">
        <f t="shared" si="8"/>
        <v>2687</v>
      </c>
      <c r="P16" s="6">
        <f t="shared" si="8"/>
        <v>67</v>
      </c>
      <c r="Q16" s="6">
        <f t="shared" si="8"/>
        <v>67</v>
      </c>
      <c r="R16" s="6">
        <f t="shared" si="8"/>
        <v>77774</v>
      </c>
      <c r="S16" s="6">
        <f t="shared" si="8"/>
        <v>77774</v>
      </c>
      <c r="T16" s="6">
        <f t="shared" si="8"/>
        <v>378153</v>
      </c>
      <c r="U16" s="6">
        <f t="shared" si="8"/>
        <v>378153</v>
      </c>
      <c r="W16" s="6">
        <f t="shared" ref="W16:AC16" si="9">SUM(W17:W18)</f>
        <v>492</v>
      </c>
      <c r="X16" s="6">
        <f t="shared" si="9"/>
        <v>492</v>
      </c>
      <c r="Y16" s="6">
        <f t="shared" si="9"/>
        <v>94127</v>
      </c>
      <c r="Z16" s="6">
        <f t="shared" si="9"/>
        <v>94127</v>
      </c>
      <c r="AA16" s="6">
        <f t="shared" si="9"/>
        <v>296662</v>
      </c>
      <c r="AB16" s="6">
        <f t="shared" si="9"/>
        <v>296662</v>
      </c>
      <c r="AC16" s="6">
        <f t="shared" si="9"/>
        <v>6252</v>
      </c>
      <c r="AD16" s="4"/>
      <c r="AE16" s="6">
        <f t="shared" ref="AE16:AH16" si="10">SUM(AE17:AE18)</f>
        <v>295651</v>
      </c>
      <c r="AF16" s="6">
        <f t="shared" si="10"/>
        <v>937</v>
      </c>
      <c r="AG16" s="6">
        <f t="shared" si="10"/>
        <v>811</v>
      </c>
      <c r="AH16" s="6">
        <f t="shared" si="10"/>
        <v>10997</v>
      </c>
      <c r="AI16" s="4"/>
      <c r="AJ16" s="6">
        <f t="shared" ref="AJ16:AM16" si="11">SUM(AJ17:AJ18)</f>
        <v>59008</v>
      </c>
      <c r="AK16" s="6">
        <f t="shared" si="11"/>
        <v>1000</v>
      </c>
      <c r="AL16" s="6">
        <f t="shared" si="11"/>
        <v>1652</v>
      </c>
      <c r="AM16" s="6">
        <f t="shared" si="11"/>
        <v>37821</v>
      </c>
      <c r="AN16" s="4"/>
      <c r="AO16" s="6">
        <f t="shared" ref="AO16:AQ16" si="12">SUM(AO17:AO18)</f>
        <v>23386</v>
      </c>
      <c r="AP16" s="6">
        <f t="shared" si="12"/>
        <v>10243</v>
      </c>
      <c r="AQ16" s="6">
        <f t="shared" si="12"/>
        <v>1856</v>
      </c>
      <c r="AR16" s="6">
        <f t="shared" ref="AR16" si="13">SUM(AR17:AR18)</f>
        <v>19618</v>
      </c>
      <c r="AS16" s="6"/>
      <c r="AT16" s="6">
        <f t="shared" ref="AT16:AW16" si="14">SUM(AT17:AT18)</f>
        <v>1999</v>
      </c>
      <c r="AU16" s="6">
        <f t="shared" si="14"/>
        <v>60307</v>
      </c>
      <c r="AV16" s="6">
        <f t="shared" si="14"/>
        <v>15452</v>
      </c>
      <c r="AW16" s="6">
        <f t="shared" si="14"/>
        <v>25738</v>
      </c>
      <c r="AX16" s="6"/>
      <c r="AY16" s="6">
        <f t="shared" ref="AY16:AZ16" si="15">SUM(AY17:AY18)</f>
        <v>22530</v>
      </c>
      <c r="AZ16" s="6">
        <f t="shared" si="15"/>
        <v>14721</v>
      </c>
      <c r="BA16" s="6">
        <v>24046</v>
      </c>
      <c r="BB16" s="6">
        <f t="shared" ref="BB16" si="16">SUM(BB17:BB18)</f>
        <v>51658</v>
      </c>
      <c r="BC16" s="6"/>
      <c r="BD16" s="6">
        <v>21750</v>
      </c>
      <c r="BE16" s="6">
        <v>111418</v>
      </c>
      <c r="BF16" s="6">
        <v>51725</v>
      </c>
      <c r="BG16" s="6">
        <v>113946</v>
      </c>
    </row>
    <row r="17" spans="2:59" ht="16.5" customHeight="1">
      <c r="B17" s="8" t="s">
        <v>144</v>
      </c>
      <c r="C17" s="199">
        <v>32888</v>
      </c>
      <c r="D17" s="199">
        <v>116153</v>
      </c>
      <c r="E17" s="199">
        <v>65351</v>
      </c>
      <c r="F17" s="199">
        <v>41882</v>
      </c>
      <c r="H17" s="199"/>
      <c r="I17" s="199">
        <v>42075</v>
      </c>
      <c r="J17" s="199">
        <v>313850</v>
      </c>
      <c r="K17" s="199">
        <v>57364</v>
      </c>
      <c r="L17" s="199">
        <v>57365</v>
      </c>
      <c r="N17" s="130">
        <v>0</v>
      </c>
      <c r="O17" s="130">
        <v>0</v>
      </c>
      <c r="P17" s="199">
        <v>67</v>
      </c>
      <c r="Q17" s="199">
        <v>67</v>
      </c>
      <c r="R17" s="199">
        <v>77774</v>
      </c>
      <c r="S17" s="199">
        <v>77774</v>
      </c>
      <c r="T17" s="199">
        <v>357713</v>
      </c>
      <c r="U17" s="4">
        <v>357713</v>
      </c>
      <c r="W17" s="130">
        <v>0</v>
      </c>
      <c r="X17" s="130">
        <v>0</v>
      </c>
      <c r="Y17" s="122">
        <v>66801</v>
      </c>
      <c r="Z17" s="122">
        <v>66801</v>
      </c>
      <c r="AA17" s="4">
        <v>284261</v>
      </c>
      <c r="AB17" s="4">
        <v>284261</v>
      </c>
      <c r="AC17" s="131">
        <v>0</v>
      </c>
      <c r="AD17" s="4"/>
      <c r="AE17" s="130">
        <v>294773</v>
      </c>
      <c r="AF17" s="122">
        <v>0</v>
      </c>
      <c r="AG17" s="122">
        <v>0</v>
      </c>
      <c r="AH17" s="122">
        <v>382</v>
      </c>
      <c r="AI17" s="4"/>
      <c r="AJ17" s="130">
        <v>58454</v>
      </c>
      <c r="AK17" s="122">
        <v>0</v>
      </c>
      <c r="AL17" s="122">
        <v>0</v>
      </c>
      <c r="AM17" s="122">
        <v>0</v>
      </c>
      <c r="AN17" s="4"/>
      <c r="AO17" s="130">
        <v>22954</v>
      </c>
      <c r="AP17" s="122">
        <v>1</v>
      </c>
      <c r="AQ17" s="122">
        <v>835</v>
      </c>
      <c r="AR17" s="124">
        <f>-836+1</f>
        <v>-835</v>
      </c>
      <c r="AS17" s="124"/>
      <c r="AT17" s="130">
        <v>0</v>
      </c>
      <c r="AU17" s="122">
        <v>1148</v>
      </c>
      <c r="AV17" s="122"/>
      <c r="AW17" s="124">
        <v>0</v>
      </c>
      <c r="AX17" s="124"/>
      <c r="AY17" s="130">
        <v>0</v>
      </c>
      <c r="AZ17" s="122">
        <v>0</v>
      </c>
      <c r="BA17" s="122">
        <v>0</v>
      </c>
      <c r="BB17" s="124"/>
      <c r="BC17" s="124"/>
      <c r="BD17" s="130">
        <v>0</v>
      </c>
      <c r="BE17" s="130">
        <v>91327</v>
      </c>
      <c r="BF17" s="130">
        <v>0</v>
      </c>
      <c r="BG17" s="124">
        <v>46583</v>
      </c>
    </row>
    <row r="18" spans="2:59" ht="16.5" customHeight="1">
      <c r="B18" s="8" t="s">
        <v>145</v>
      </c>
      <c r="C18" s="199">
        <v>10499</v>
      </c>
      <c r="D18" s="199">
        <v>1892</v>
      </c>
      <c r="E18" s="199">
        <v>957</v>
      </c>
      <c r="F18" s="199">
        <v>13830</v>
      </c>
      <c r="H18" s="199">
        <v>883</v>
      </c>
      <c r="I18" s="199">
        <v>3152</v>
      </c>
      <c r="J18" s="199">
        <v>17644</v>
      </c>
      <c r="K18" s="199">
        <v>35195</v>
      </c>
      <c r="L18" s="199">
        <v>36869</v>
      </c>
      <c r="N18" s="199">
        <v>2687</v>
      </c>
      <c r="O18" s="199">
        <v>2687</v>
      </c>
      <c r="P18" s="130">
        <v>0</v>
      </c>
      <c r="Q18" s="130">
        <v>0</v>
      </c>
      <c r="R18" s="130">
        <v>0</v>
      </c>
      <c r="S18" s="130">
        <v>0</v>
      </c>
      <c r="T18" s="130">
        <v>20440</v>
      </c>
      <c r="U18" s="4">
        <v>20440</v>
      </c>
      <c r="W18" s="199">
        <v>492</v>
      </c>
      <c r="X18" s="199">
        <v>492</v>
      </c>
      <c r="Y18" s="122">
        <v>27326</v>
      </c>
      <c r="Z18" s="122">
        <v>27326</v>
      </c>
      <c r="AA18" s="4">
        <v>12401</v>
      </c>
      <c r="AB18" s="4">
        <v>12401</v>
      </c>
      <c r="AC18" s="122">
        <v>6252</v>
      </c>
      <c r="AD18" s="4"/>
      <c r="AE18" s="199">
        <v>878</v>
      </c>
      <c r="AF18" s="122">
        <v>937</v>
      </c>
      <c r="AG18" s="122">
        <v>811</v>
      </c>
      <c r="AH18" s="122">
        <v>10615</v>
      </c>
      <c r="AI18" s="4"/>
      <c r="AJ18" s="199">
        <v>554</v>
      </c>
      <c r="AK18" s="122">
        <v>1000</v>
      </c>
      <c r="AL18" s="122">
        <v>1652</v>
      </c>
      <c r="AM18" s="122">
        <v>37821</v>
      </c>
      <c r="AN18" s="4"/>
      <c r="AO18" s="199">
        <v>432</v>
      </c>
      <c r="AP18" s="122">
        <v>10242</v>
      </c>
      <c r="AQ18" s="122">
        <v>1021</v>
      </c>
      <c r="AR18" s="122">
        <v>20453</v>
      </c>
      <c r="AS18" s="124"/>
      <c r="AT18" s="199">
        <v>1999</v>
      </c>
      <c r="AU18" s="122">
        <v>59159</v>
      </c>
      <c r="AV18" s="122">
        <v>15452</v>
      </c>
      <c r="AW18" s="122">
        <v>25738</v>
      </c>
      <c r="AX18" s="124"/>
      <c r="AY18" s="199">
        <v>22530</v>
      </c>
      <c r="AZ18" s="122">
        <v>14721</v>
      </c>
      <c r="BA18" s="122">
        <v>24046</v>
      </c>
      <c r="BB18" s="122">
        <v>51658</v>
      </c>
      <c r="BC18" s="124"/>
      <c r="BD18" s="199">
        <v>21750</v>
      </c>
      <c r="BE18" s="199">
        <v>20091</v>
      </c>
      <c r="BF18" s="199">
        <v>51725</v>
      </c>
      <c r="BG18" s="122">
        <v>67363</v>
      </c>
    </row>
    <row r="19" spans="2:59" ht="3.75" customHeight="1">
      <c r="C19" s="199"/>
      <c r="D19" s="199"/>
      <c r="E19" s="199"/>
      <c r="F19" s="199"/>
      <c r="H19" s="199"/>
      <c r="I19" s="199"/>
      <c r="J19" s="199"/>
      <c r="K19" s="199"/>
      <c r="L19" s="199"/>
      <c r="N19" s="199"/>
      <c r="O19" s="199"/>
      <c r="P19" s="199"/>
      <c r="Q19" s="199"/>
      <c r="R19" s="199"/>
      <c r="S19" s="199"/>
      <c r="T19" s="199"/>
      <c r="U19" s="199"/>
      <c r="W19" s="199"/>
      <c r="X19" s="199"/>
      <c r="AD19" s="4"/>
      <c r="AE19" s="199"/>
      <c r="AI19" s="4"/>
      <c r="AJ19" s="199"/>
      <c r="AN19" s="4"/>
      <c r="AO19" s="199"/>
      <c r="AQ19" s="261"/>
      <c r="AT19" s="199"/>
      <c r="AV19"/>
      <c r="AY19" s="199"/>
      <c r="BD19" s="199"/>
      <c r="BE19" s="199"/>
      <c r="BF19" s="199"/>
    </row>
    <row r="20" spans="2:59" s="2" customFormat="1" ht="16.5" customHeight="1">
      <c r="B20" s="2" t="s">
        <v>2</v>
      </c>
      <c r="C20" s="6">
        <f>+C10-C16</f>
        <v>191714</v>
      </c>
      <c r="D20" s="6">
        <f>+D10-D16</f>
        <v>91545</v>
      </c>
      <c r="E20" s="6">
        <f>+E10-E16</f>
        <v>51382</v>
      </c>
      <c r="F20" s="6">
        <f>+F10-F16</f>
        <v>17819</v>
      </c>
      <c r="H20" s="6">
        <f>+H10-H16</f>
        <v>124959</v>
      </c>
      <c r="I20" s="6">
        <f>+I10-I16</f>
        <v>125666</v>
      </c>
      <c r="J20" s="6">
        <f>+J10-J16</f>
        <v>363919</v>
      </c>
      <c r="K20" s="6">
        <f>+K10-K16</f>
        <v>12074</v>
      </c>
      <c r="L20" s="6">
        <f>+L10-L16</f>
        <v>57975</v>
      </c>
      <c r="N20" s="6">
        <f t="shared" ref="N20:U20" si="17">+N10-N16</f>
        <v>165107</v>
      </c>
      <c r="O20" s="6">
        <f t="shared" si="17"/>
        <v>158971</v>
      </c>
      <c r="P20" s="6">
        <f t="shared" si="17"/>
        <v>114464</v>
      </c>
      <c r="Q20" s="6">
        <f t="shared" si="17"/>
        <v>120280</v>
      </c>
      <c r="R20" s="6">
        <f t="shared" si="17"/>
        <v>115148</v>
      </c>
      <c r="S20" s="6">
        <f t="shared" si="17"/>
        <v>135948</v>
      </c>
      <c r="T20" s="6">
        <f t="shared" si="17"/>
        <v>244023</v>
      </c>
      <c r="U20" s="6">
        <f t="shared" si="17"/>
        <v>237606</v>
      </c>
      <c r="W20" s="6">
        <f t="shared" ref="W20:AC20" si="18">+W10-W16</f>
        <v>175432</v>
      </c>
      <c r="X20" s="6">
        <f t="shared" si="18"/>
        <v>178111</v>
      </c>
      <c r="Y20" s="6">
        <f t="shared" si="18"/>
        <v>117021</v>
      </c>
      <c r="Z20" s="6">
        <f t="shared" si="18"/>
        <v>118445</v>
      </c>
      <c r="AA20" s="6">
        <f t="shared" si="18"/>
        <v>457888</v>
      </c>
      <c r="AB20" s="6">
        <f t="shared" si="18"/>
        <v>458217</v>
      </c>
      <c r="AC20" s="6">
        <f t="shared" si="18"/>
        <v>42323</v>
      </c>
      <c r="AD20" s="4"/>
      <c r="AE20" s="6">
        <f t="shared" ref="AE20:AH20" si="19">+AE10-AE16</f>
        <v>555381</v>
      </c>
      <c r="AF20" s="6">
        <f t="shared" si="19"/>
        <v>97594</v>
      </c>
      <c r="AG20" s="6">
        <f t="shared" si="19"/>
        <v>245457</v>
      </c>
      <c r="AH20" s="6">
        <f t="shared" si="19"/>
        <v>172874</v>
      </c>
      <c r="AI20" s="4"/>
      <c r="AJ20" s="6">
        <f t="shared" ref="AJ20:AM20" si="20">+AJ10-AJ16</f>
        <v>248655</v>
      </c>
      <c r="AK20" s="6">
        <f t="shared" si="20"/>
        <v>95284</v>
      </c>
      <c r="AL20" s="6">
        <f t="shared" si="20"/>
        <v>254708</v>
      </c>
      <c r="AM20" s="6">
        <f t="shared" si="20"/>
        <v>147482</v>
      </c>
      <c r="AN20" s="4"/>
      <c r="AO20" s="6">
        <f t="shared" ref="AO20:AR20" si="21">+AO10-AO16</f>
        <v>176864</v>
      </c>
      <c r="AP20" s="6">
        <f t="shared" si="21"/>
        <v>18135</v>
      </c>
      <c r="AQ20" s="6">
        <f t="shared" si="21"/>
        <v>22308</v>
      </c>
      <c r="AR20" s="6">
        <f t="shared" si="21"/>
        <v>-16103</v>
      </c>
      <c r="AS20" s="6"/>
      <c r="AT20" s="6">
        <f t="shared" ref="AT20:AW20" si="22">+AT10-AT16</f>
        <v>187151</v>
      </c>
      <c r="AU20" s="6">
        <f t="shared" si="22"/>
        <v>159175</v>
      </c>
      <c r="AV20" s="6">
        <f t="shared" si="22"/>
        <v>155489</v>
      </c>
      <c r="AW20" s="6">
        <f t="shared" si="22"/>
        <v>47449</v>
      </c>
      <c r="AX20" s="6"/>
      <c r="AY20" s="6">
        <f t="shared" ref="AY20:AZ20" si="23">+AY10-AY16</f>
        <v>262181</v>
      </c>
      <c r="AZ20" s="6">
        <f t="shared" si="23"/>
        <v>157331</v>
      </c>
      <c r="BA20" s="6">
        <v>142264</v>
      </c>
      <c r="BB20" s="6">
        <f t="shared" ref="BB20" si="24">+BB10-BB16</f>
        <v>104455</v>
      </c>
      <c r="BC20" s="6"/>
      <c r="BD20" s="6">
        <v>407277</v>
      </c>
      <c r="BE20" s="6">
        <v>443752</v>
      </c>
      <c r="BF20" s="6">
        <v>218061</v>
      </c>
      <c r="BG20" s="6">
        <v>59287</v>
      </c>
    </row>
    <row r="21" spans="2:59" ht="16.5" customHeight="1">
      <c r="B21" s="7" t="s">
        <v>3</v>
      </c>
      <c r="C21" s="49">
        <f>+C20/C$10</f>
        <v>0.81545378369296595</v>
      </c>
      <c r="D21" s="49">
        <f>+D20/D$10</f>
        <v>0.43678133498735627</v>
      </c>
      <c r="E21" s="49">
        <f>+E20/E$10</f>
        <v>0.43658764550938906</v>
      </c>
      <c r="F21" s="49">
        <f>+F20/F$10</f>
        <v>0.24233316560362297</v>
      </c>
      <c r="H21" s="49">
        <f>+H20/H$10</f>
        <v>0.99298326472878684</v>
      </c>
      <c r="I21" s="49">
        <f>+I20/I$10</f>
        <v>0.73534901956194809</v>
      </c>
      <c r="J21" s="49">
        <f>+J20/J$10</f>
        <v>0.52331348421729251</v>
      </c>
      <c r="K21" s="49">
        <f t="shared" ref="K21:L21" si="25">+K20/K$10</f>
        <v>0.1153938050137146</v>
      </c>
      <c r="L21" s="49">
        <f t="shared" si="25"/>
        <v>0.38089074890446689</v>
      </c>
      <c r="N21" s="49">
        <f t="shared" ref="N21:U21" si="26">+N20/N$10</f>
        <v>0.98398631655482316</v>
      </c>
      <c r="O21" s="49">
        <f t="shared" si="26"/>
        <v>0.98337849039329939</v>
      </c>
      <c r="P21" s="49">
        <f t="shared" si="26"/>
        <v>0.99941500554435048</v>
      </c>
      <c r="Q21" s="49">
        <f t="shared" si="26"/>
        <v>0.99944327652538079</v>
      </c>
      <c r="R21" s="49">
        <f t="shared" si="26"/>
        <v>0.59686298089383272</v>
      </c>
      <c r="S21" s="49">
        <f t="shared" si="26"/>
        <v>0.63609736012202767</v>
      </c>
      <c r="T21" s="49">
        <f t="shared" si="26"/>
        <v>0.39220895695108782</v>
      </c>
      <c r="U21" s="49">
        <f t="shared" si="26"/>
        <v>0.38587499330095054</v>
      </c>
      <c r="W21" s="49">
        <f t="shared" ref="W21:AC21" si="27">+W20/W$10</f>
        <v>0.99720333780496129</v>
      </c>
      <c r="X21" s="49">
        <f t="shared" si="27"/>
        <v>0.99724528703325255</v>
      </c>
      <c r="Y21" s="49">
        <f t="shared" si="27"/>
        <v>0.55421315854282305</v>
      </c>
      <c r="Z21" s="49">
        <f t="shared" si="27"/>
        <v>0.55719944301225</v>
      </c>
      <c r="AA21" s="49">
        <f t="shared" si="27"/>
        <v>0.60683586243456367</v>
      </c>
      <c r="AB21" s="49">
        <f t="shared" si="27"/>
        <v>0.60700721572596406</v>
      </c>
      <c r="AC21" s="49">
        <f t="shared" si="27"/>
        <v>0.87129181677817813</v>
      </c>
      <c r="AD21" s="4"/>
      <c r="AE21" s="49">
        <f t="shared" ref="AE21:AH21" si="28">+AE20/AE$10</f>
        <v>0.65259708213087164</v>
      </c>
      <c r="AF21" s="49">
        <f t="shared" si="28"/>
        <v>0.99049030254437687</v>
      </c>
      <c r="AG21" s="49">
        <f t="shared" si="28"/>
        <v>0.99670683970308771</v>
      </c>
      <c r="AH21" s="49">
        <f t="shared" si="28"/>
        <v>0.94019176487863776</v>
      </c>
      <c r="AI21" s="4"/>
      <c r="AJ21" s="49">
        <f t="shared" ref="AJ21:AM21" si="29">+AJ20/AJ$10</f>
        <v>0.80820573159593456</v>
      </c>
      <c r="AK21" s="49">
        <f t="shared" si="29"/>
        <v>0.98961405841053551</v>
      </c>
      <c r="AL21" s="49">
        <f t="shared" si="29"/>
        <v>0.99355593696364486</v>
      </c>
      <c r="AM21" s="49">
        <f t="shared" si="29"/>
        <v>0.79589645067807857</v>
      </c>
      <c r="AN21" s="4"/>
      <c r="AO21" s="49">
        <f t="shared" ref="AO21:AR21" si="30">+AO20/AO$10</f>
        <v>0.88321598002496882</v>
      </c>
      <c r="AP21" s="49">
        <f t="shared" si="30"/>
        <v>0.6390513778278949</v>
      </c>
      <c r="AQ21" s="49">
        <f t="shared" si="30"/>
        <v>0.9231915245820228</v>
      </c>
      <c r="AR21" s="49">
        <f t="shared" si="30"/>
        <v>-4.5812233285917499</v>
      </c>
      <c r="AS21" s="49"/>
      <c r="AT21" s="49">
        <f t="shared" ref="AT21:AW21" si="31">+AT20/AT$10</f>
        <v>0.98943166798836901</v>
      </c>
      <c r="AU21" s="49">
        <f t="shared" si="31"/>
        <v>0.72523031501444313</v>
      </c>
      <c r="AV21" s="49">
        <f t="shared" si="31"/>
        <v>0.90960623840974375</v>
      </c>
      <c r="AW21" s="49">
        <f t="shared" si="31"/>
        <v>0.64832552229221041</v>
      </c>
      <c r="AX21" s="49"/>
      <c r="AY21" s="49">
        <f t="shared" ref="AY21:AZ21" si="32">+AY20/AY$10</f>
        <v>0.92086712490911837</v>
      </c>
      <c r="AZ21" s="49">
        <f t="shared" si="32"/>
        <v>0.91443865808011526</v>
      </c>
      <c r="BA21" s="49">
        <v>0.85541458721664365</v>
      </c>
      <c r="BB21" s="49">
        <f t="shared" ref="BB21" si="33">+BB20/BB$10</f>
        <v>0.66909866571009458</v>
      </c>
      <c r="BC21" s="49"/>
      <c r="BD21" s="49">
        <v>0.94930388996496728</v>
      </c>
      <c r="BE21" s="49">
        <v>0.79930831997406204</v>
      </c>
      <c r="BF21" s="49">
        <v>0.80827396529100848</v>
      </c>
      <c r="BG21" s="49">
        <v>0.34223848804788926</v>
      </c>
    </row>
    <row r="22" spans="2:59" ht="4.5" customHeight="1">
      <c r="C22" s="199"/>
      <c r="D22" s="199"/>
      <c r="E22" s="199"/>
      <c r="F22" s="199"/>
      <c r="H22" s="199"/>
      <c r="I22" s="199"/>
      <c r="J22" s="199"/>
      <c r="K22" s="199"/>
      <c r="L22" s="199"/>
      <c r="N22" s="199"/>
      <c r="O22" s="199"/>
      <c r="P22" s="199"/>
      <c r="Q22" s="199"/>
      <c r="R22" s="199"/>
      <c r="S22" s="199"/>
      <c r="T22" s="199"/>
      <c r="U22" s="199"/>
      <c r="W22" s="199"/>
      <c r="X22" s="199"/>
      <c r="AD22" s="4"/>
      <c r="AE22" s="199"/>
      <c r="AI22" s="4"/>
      <c r="AJ22" s="199"/>
      <c r="AN22" s="4"/>
      <c r="AO22" s="199"/>
      <c r="AQ22" s="261"/>
      <c r="AT22" s="199"/>
      <c r="AV22"/>
      <c r="AY22" s="199"/>
      <c r="BD22" s="199"/>
      <c r="BE22" s="199"/>
      <c r="BF22" s="199"/>
    </row>
    <row r="23" spans="2:59" ht="15" customHeight="1">
      <c r="B23" s="2" t="s">
        <v>146</v>
      </c>
      <c r="C23" s="6">
        <f>SUM(C24:C27)</f>
        <v>23088</v>
      </c>
      <c r="D23" s="6">
        <f>SUM(D24:D27)</f>
        <v>18094</v>
      </c>
      <c r="E23" s="6">
        <f>SUM(E24:E27)</f>
        <v>19160</v>
      </c>
      <c r="F23" s="6">
        <f>SUM(F24:F27)</f>
        <v>78138</v>
      </c>
      <c r="H23" s="6">
        <f>SUM(H24:H27)</f>
        <v>34292</v>
      </c>
      <c r="I23" s="6">
        <f>SUM(I24:I27)</f>
        <v>21254</v>
      </c>
      <c r="J23" s="6">
        <f>SUM(J24:J27)</f>
        <v>18619</v>
      </c>
      <c r="K23" s="6">
        <f>SUM(K24:K27)</f>
        <v>44058</v>
      </c>
      <c r="L23" s="6">
        <f>SUM(L24:L27)</f>
        <v>43755</v>
      </c>
      <c r="N23" s="6">
        <f t="shared" ref="N23:U23" si="34">SUM(N24:N27)</f>
        <v>47851</v>
      </c>
      <c r="O23" s="6">
        <f t="shared" si="34"/>
        <v>47851</v>
      </c>
      <c r="P23" s="6">
        <f t="shared" si="34"/>
        <v>18821</v>
      </c>
      <c r="Q23" s="6">
        <f t="shared" si="34"/>
        <v>18821</v>
      </c>
      <c r="R23" s="6">
        <f t="shared" si="34"/>
        <v>23564</v>
      </c>
      <c r="S23" s="6">
        <f t="shared" si="34"/>
        <v>23558</v>
      </c>
      <c r="T23" s="6">
        <f t="shared" si="34"/>
        <v>38991</v>
      </c>
      <c r="U23" s="6">
        <f t="shared" si="34"/>
        <v>43613</v>
      </c>
      <c r="W23" s="6">
        <f t="shared" ref="W23:AC23" si="35">SUM(W24:W27)</f>
        <v>47563</v>
      </c>
      <c r="X23" s="6">
        <f t="shared" si="35"/>
        <v>49395</v>
      </c>
      <c r="Y23" s="6">
        <f t="shared" si="35"/>
        <v>22303</v>
      </c>
      <c r="Z23" s="6">
        <f t="shared" si="35"/>
        <v>22674</v>
      </c>
      <c r="AA23" s="6">
        <f t="shared" si="35"/>
        <v>45457</v>
      </c>
      <c r="AB23" s="6">
        <f t="shared" si="35"/>
        <v>45604</v>
      </c>
      <c r="AC23" s="6">
        <f t="shared" si="35"/>
        <v>49794</v>
      </c>
      <c r="AD23" s="4"/>
      <c r="AE23" s="6">
        <f t="shared" ref="AE23:AH23" si="36">SUM(AE24:AE27)</f>
        <v>45456</v>
      </c>
      <c r="AF23" s="6">
        <f t="shared" si="36"/>
        <v>27219</v>
      </c>
      <c r="AG23" s="6">
        <f t="shared" si="36"/>
        <v>19719</v>
      </c>
      <c r="AH23" s="6">
        <f t="shared" si="36"/>
        <v>48937</v>
      </c>
      <c r="AI23" s="4"/>
      <c r="AJ23" s="6">
        <f t="shared" ref="AJ23:AM23" si="37">SUM(AJ24:AJ27)</f>
        <v>51547</v>
      </c>
      <c r="AK23" s="6">
        <f t="shared" si="37"/>
        <v>27075</v>
      </c>
      <c r="AL23" s="6">
        <f t="shared" si="37"/>
        <v>24394</v>
      </c>
      <c r="AM23" s="6">
        <f t="shared" si="37"/>
        <v>39979</v>
      </c>
      <c r="AN23" s="4"/>
      <c r="AO23" s="6">
        <f t="shared" ref="AO23:AQ23" si="38">SUM(AO24:AO27)</f>
        <v>47477</v>
      </c>
      <c r="AP23" s="6">
        <f t="shared" si="38"/>
        <v>23540</v>
      </c>
      <c r="AQ23" s="6">
        <f t="shared" si="38"/>
        <v>27382</v>
      </c>
      <c r="AR23" s="6">
        <f t="shared" ref="AR23" si="39">SUM(AR24:AR27)</f>
        <v>30223</v>
      </c>
      <c r="AS23" s="6"/>
      <c r="AT23" s="6">
        <f t="shared" ref="AT23:AW23" si="40">SUM(AT24:AT27)</f>
        <v>49349</v>
      </c>
      <c r="AU23" s="6">
        <f t="shared" si="40"/>
        <v>28021</v>
      </c>
      <c r="AV23" s="6">
        <f t="shared" si="40"/>
        <v>23816</v>
      </c>
      <c r="AW23" s="6">
        <f t="shared" si="40"/>
        <v>35005</v>
      </c>
      <c r="AX23" s="6"/>
      <c r="AY23" s="6">
        <f t="shared" ref="AY23:AZ23" si="41">SUM(AY24:AY27)</f>
        <v>65029</v>
      </c>
      <c r="AZ23" s="6">
        <f t="shared" si="41"/>
        <v>36613</v>
      </c>
      <c r="BA23" s="6">
        <v>28901</v>
      </c>
      <c r="BB23" s="6">
        <f t="shared" ref="BB23" si="42">SUM(BB24:BB27)</f>
        <v>60267</v>
      </c>
      <c r="BC23" s="6"/>
      <c r="BD23" s="6">
        <v>49432</v>
      </c>
      <c r="BE23" s="6">
        <v>32349</v>
      </c>
      <c r="BF23" s="6">
        <v>46885.595300000001</v>
      </c>
      <c r="BG23" s="6">
        <v>42460.404699999999</v>
      </c>
    </row>
    <row r="24" spans="2:59" ht="16.5" customHeight="1">
      <c r="B24" s="8" t="s">
        <v>4</v>
      </c>
      <c r="C24" s="199">
        <v>20350</v>
      </c>
      <c r="D24" s="199">
        <v>19225</v>
      </c>
      <c r="E24" s="199">
        <v>18455</v>
      </c>
      <c r="F24" s="199">
        <f>77024+1</f>
        <v>77025</v>
      </c>
      <c r="H24" s="199">
        <v>33611</v>
      </c>
      <c r="I24" s="199">
        <f>20155-1</f>
        <v>20154</v>
      </c>
      <c r="J24" s="199">
        <v>17000</v>
      </c>
      <c r="K24" s="199">
        <v>40674</v>
      </c>
      <c r="L24" s="199">
        <v>40674</v>
      </c>
      <c r="N24" s="199">
        <v>46839</v>
      </c>
      <c r="O24" s="199">
        <v>46839</v>
      </c>
      <c r="P24" s="199">
        <v>17259</v>
      </c>
      <c r="Q24" s="199">
        <v>17259</v>
      </c>
      <c r="R24" s="199">
        <v>22068</v>
      </c>
      <c r="S24" s="199">
        <v>22068</v>
      </c>
      <c r="T24" s="199">
        <v>37606</v>
      </c>
      <c r="U24" s="4">
        <f>37606+4442</f>
        <v>42048</v>
      </c>
      <c r="W24" s="199">
        <v>46472</v>
      </c>
      <c r="X24" s="199">
        <v>48282</v>
      </c>
      <c r="Y24" s="199">
        <v>21224</v>
      </c>
      <c r="Z24" s="199">
        <f>21224+350</f>
        <v>21574</v>
      </c>
      <c r="AA24" s="199">
        <v>28780</v>
      </c>
      <c r="AB24" s="199">
        <f>28780+126</f>
        <v>28906</v>
      </c>
      <c r="AC24" s="199">
        <v>47878</v>
      </c>
      <c r="AD24" s="4"/>
      <c r="AE24" s="199">
        <v>44399</v>
      </c>
      <c r="AF24" s="199">
        <f>25935+215</f>
        <v>26150</v>
      </c>
      <c r="AG24" s="199">
        <f>18658-30</f>
        <v>18628</v>
      </c>
      <c r="AH24" s="199">
        <v>28471</v>
      </c>
      <c r="AI24" s="4"/>
      <c r="AJ24" s="199">
        <v>47238</v>
      </c>
      <c r="AK24" s="199">
        <v>22925</v>
      </c>
      <c r="AL24" s="199">
        <v>20214</v>
      </c>
      <c r="AM24" s="199">
        <v>34994</v>
      </c>
      <c r="AN24" s="4"/>
      <c r="AO24" s="199">
        <v>43364</v>
      </c>
      <c r="AP24" s="199">
        <v>18939</v>
      </c>
      <c r="AQ24" s="199">
        <v>21509</v>
      </c>
      <c r="AR24" s="199">
        <v>25288</v>
      </c>
      <c r="AS24" s="199"/>
      <c r="AT24" s="199">
        <v>44772</v>
      </c>
      <c r="AU24" s="199">
        <v>23139</v>
      </c>
      <c r="AV24" s="199">
        <v>19316</v>
      </c>
      <c r="AW24" s="199">
        <v>29808</v>
      </c>
      <c r="AX24" s="199"/>
      <c r="AY24" s="199">
        <v>60366</v>
      </c>
      <c r="AZ24" s="199">
        <v>31630</v>
      </c>
      <c r="BA24" s="199">
        <v>23980</v>
      </c>
      <c r="BB24" s="199">
        <v>58697</v>
      </c>
      <c r="BC24" s="199"/>
      <c r="BD24" s="199">
        <v>48106</v>
      </c>
      <c r="BE24" s="199">
        <v>31845</v>
      </c>
      <c r="BF24" s="199">
        <v>45544.595300000001</v>
      </c>
      <c r="BG24" s="199">
        <v>41945.404699999999</v>
      </c>
    </row>
    <row r="25" spans="2:59" ht="12.5">
      <c r="B25" s="8" t="s">
        <v>88</v>
      </c>
      <c r="C25" s="199">
        <v>28</v>
      </c>
      <c r="D25" s="199">
        <v>28</v>
      </c>
      <c r="E25" s="199">
        <v>95</v>
      </c>
      <c r="F25" s="199">
        <v>2308</v>
      </c>
      <c r="H25" s="199">
        <v>681</v>
      </c>
      <c r="I25" s="199">
        <v>681</v>
      </c>
      <c r="J25" s="199">
        <v>795</v>
      </c>
      <c r="K25" s="199">
        <v>739</v>
      </c>
      <c r="L25" s="199">
        <v>436</v>
      </c>
      <c r="N25" s="199">
        <v>874</v>
      </c>
      <c r="O25" s="199">
        <v>874</v>
      </c>
      <c r="P25" s="199">
        <v>866</v>
      </c>
      <c r="Q25" s="199">
        <v>866</v>
      </c>
      <c r="R25" s="199">
        <v>866</v>
      </c>
      <c r="S25" s="199">
        <v>860</v>
      </c>
      <c r="T25" s="199">
        <v>806</v>
      </c>
      <c r="U25" s="4">
        <f>812+87</f>
        <v>899</v>
      </c>
      <c r="W25" s="199">
        <v>674</v>
      </c>
      <c r="X25" s="199">
        <v>695</v>
      </c>
      <c r="Y25" s="1">
        <v>672</v>
      </c>
      <c r="Z25" s="1">
        <f>672+21</f>
        <v>693</v>
      </c>
      <c r="AA25" s="199">
        <v>16171</v>
      </c>
      <c r="AB25" s="199">
        <f>16171+22</f>
        <v>16193</v>
      </c>
      <c r="AC25" s="122">
        <v>933</v>
      </c>
      <c r="AD25" s="4"/>
      <c r="AE25" s="199">
        <v>888</v>
      </c>
      <c r="AF25" s="199">
        <v>890</v>
      </c>
      <c r="AG25" s="199">
        <v>889</v>
      </c>
      <c r="AH25" s="199">
        <v>19436</v>
      </c>
      <c r="AI25" s="4"/>
      <c r="AJ25" s="199">
        <v>4088</v>
      </c>
      <c r="AK25" s="199">
        <v>3973</v>
      </c>
      <c r="AL25" s="199">
        <v>3999</v>
      </c>
      <c r="AM25" s="199">
        <v>4330</v>
      </c>
      <c r="AN25" s="4"/>
      <c r="AO25" s="199">
        <v>3760</v>
      </c>
      <c r="AP25" s="199">
        <v>4352</v>
      </c>
      <c r="AQ25" s="199">
        <v>5711</v>
      </c>
      <c r="AR25" s="199">
        <v>4555</v>
      </c>
      <c r="AS25" s="199"/>
      <c r="AT25" s="199">
        <v>4400</v>
      </c>
      <c r="AU25" s="199">
        <v>4364</v>
      </c>
      <c r="AV25" s="199">
        <v>4350</v>
      </c>
      <c r="AW25" s="199">
        <v>4372</v>
      </c>
      <c r="AX25" s="199"/>
      <c r="AY25" s="199">
        <v>4412</v>
      </c>
      <c r="AZ25" s="199">
        <v>4426</v>
      </c>
      <c r="BA25" s="199">
        <v>4421</v>
      </c>
      <c r="BB25" s="199">
        <v>599</v>
      </c>
      <c r="BC25" s="199"/>
      <c r="BD25" s="199">
        <v>606</v>
      </c>
      <c r="BE25" s="199">
        <v>583</v>
      </c>
      <c r="BF25" s="199">
        <v>686</v>
      </c>
      <c r="BG25" s="199">
        <v>556</v>
      </c>
    </row>
    <row r="26" spans="2:59" ht="14.25" customHeight="1">
      <c r="B26" s="8" t="s">
        <v>12</v>
      </c>
      <c r="C26" s="199">
        <v>2710</v>
      </c>
      <c r="D26" s="199">
        <v>-1159</v>
      </c>
      <c r="E26" s="199">
        <v>610</v>
      </c>
      <c r="F26" s="199">
        <v>-1195</v>
      </c>
      <c r="H26" s="54">
        <v>0</v>
      </c>
      <c r="I26" s="199">
        <v>419</v>
      </c>
      <c r="J26" s="199">
        <v>824</v>
      </c>
      <c r="K26" s="199">
        <v>2645</v>
      </c>
      <c r="L26" s="199">
        <v>2645</v>
      </c>
      <c r="N26" s="199">
        <v>138</v>
      </c>
      <c r="O26" s="199">
        <v>138</v>
      </c>
      <c r="P26" s="199">
        <v>696</v>
      </c>
      <c r="Q26" s="199">
        <v>696</v>
      </c>
      <c r="R26" s="199">
        <v>630</v>
      </c>
      <c r="S26" s="199">
        <v>630</v>
      </c>
      <c r="T26" s="199">
        <v>579</v>
      </c>
      <c r="U26" s="4">
        <f>579+87</f>
        <v>666</v>
      </c>
      <c r="W26" s="199">
        <v>417</v>
      </c>
      <c r="X26" s="199">
        <v>418</v>
      </c>
      <c r="Y26" s="1">
        <v>407</v>
      </c>
      <c r="Z26" s="1">
        <v>407</v>
      </c>
      <c r="AA26" s="199">
        <v>506</v>
      </c>
      <c r="AB26" s="199">
        <f>506-1</f>
        <v>505</v>
      </c>
      <c r="AC26" s="122">
        <v>983</v>
      </c>
      <c r="AD26" s="4"/>
      <c r="AE26" s="199">
        <v>169</v>
      </c>
      <c r="AF26" s="199">
        <v>179</v>
      </c>
      <c r="AG26" s="199">
        <v>202</v>
      </c>
      <c r="AH26" s="199">
        <v>1030</v>
      </c>
      <c r="AI26" s="4"/>
      <c r="AJ26" s="199">
        <v>221</v>
      </c>
      <c r="AK26" s="199">
        <v>177</v>
      </c>
      <c r="AL26" s="199">
        <v>181</v>
      </c>
      <c r="AM26" s="199">
        <v>655</v>
      </c>
      <c r="AN26" s="4"/>
      <c r="AO26" s="199">
        <v>353</v>
      </c>
      <c r="AP26" s="199">
        <v>249</v>
      </c>
      <c r="AQ26" s="199">
        <v>162</v>
      </c>
      <c r="AR26" s="199">
        <v>380</v>
      </c>
      <c r="AS26" s="199"/>
      <c r="AT26" s="199">
        <v>177</v>
      </c>
      <c r="AU26" s="199">
        <v>518</v>
      </c>
      <c r="AV26" s="199">
        <v>150</v>
      </c>
      <c r="AW26" s="199">
        <v>825</v>
      </c>
      <c r="AX26" s="199"/>
      <c r="AY26" s="199">
        <v>251</v>
      </c>
      <c r="AZ26" s="199">
        <v>557</v>
      </c>
      <c r="BA26" s="199">
        <v>500</v>
      </c>
      <c r="BB26" s="199">
        <v>971</v>
      </c>
      <c r="BC26" s="199"/>
      <c r="BD26" s="199">
        <v>720</v>
      </c>
      <c r="BE26" s="199">
        <v>-79</v>
      </c>
      <c r="BF26" s="199">
        <v>655</v>
      </c>
      <c r="BG26" s="199">
        <v>-41</v>
      </c>
    </row>
    <row r="27" spans="2:59" ht="11.25" hidden="1" customHeight="1">
      <c r="B27" s="8" t="s">
        <v>89</v>
      </c>
      <c r="C27" s="199"/>
      <c r="D27" s="199"/>
      <c r="E27" s="199"/>
      <c r="F27" s="199"/>
      <c r="H27" s="199">
        <v>0</v>
      </c>
      <c r="I27" s="199"/>
      <c r="J27" s="199"/>
      <c r="K27" s="199"/>
      <c r="L27" s="199">
        <v>0</v>
      </c>
      <c r="N27" s="199">
        <v>0</v>
      </c>
      <c r="O27" s="199">
        <v>0</v>
      </c>
      <c r="P27" s="199">
        <v>0</v>
      </c>
      <c r="Q27" s="199"/>
      <c r="R27" s="199">
        <v>0</v>
      </c>
      <c r="S27" s="199"/>
      <c r="T27" s="199">
        <v>0</v>
      </c>
      <c r="U27" s="199">
        <v>0</v>
      </c>
      <c r="W27" s="199">
        <v>0</v>
      </c>
      <c r="X27" s="199">
        <v>0</v>
      </c>
      <c r="AD27" s="4"/>
      <c r="AE27" s="199">
        <v>0</v>
      </c>
      <c r="AI27" s="4"/>
      <c r="AJ27" s="199">
        <v>0</v>
      </c>
      <c r="AN27" s="4"/>
      <c r="AO27" s="199">
        <v>0</v>
      </c>
      <c r="AQ27" s="261"/>
      <c r="AT27" s="199">
        <v>0</v>
      </c>
      <c r="AV27"/>
      <c r="AY27" s="199">
        <v>0</v>
      </c>
      <c r="BD27" s="199"/>
      <c r="BE27" s="199"/>
      <c r="BF27" s="199"/>
    </row>
    <row r="28" spans="2:59" ht="6" customHeight="1">
      <c r="C28" s="199"/>
      <c r="D28" s="199"/>
      <c r="E28" s="199"/>
      <c r="F28" s="199"/>
      <c r="H28" s="199"/>
      <c r="I28" s="199"/>
      <c r="J28" s="199"/>
      <c r="K28" s="199"/>
      <c r="L28" s="199"/>
      <c r="N28" s="199"/>
      <c r="O28" s="199"/>
      <c r="P28" s="199"/>
      <c r="Q28" s="199"/>
      <c r="R28" s="199"/>
      <c r="S28" s="199"/>
      <c r="T28" s="199"/>
      <c r="U28" s="199"/>
      <c r="W28" s="199"/>
      <c r="X28" s="199"/>
      <c r="AD28" s="4"/>
      <c r="AE28" s="199"/>
      <c r="AI28" s="4"/>
      <c r="AJ28" s="199"/>
      <c r="AN28" s="4"/>
      <c r="AO28" s="199"/>
      <c r="AQ28" s="261"/>
      <c r="AT28" s="199"/>
      <c r="AV28"/>
      <c r="AY28" s="199"/>
      <c r="BD28" s="199"/>
      <c r="BE28" s="199"/>
      <c r="BF28" s="199"/>
    </row>
    <row r="29" spans="2:59" ht="15" customHeight="1">
      <c r="B29" s="2" t="s">
        <v>14</v>
      </c>
      <c r="C29" s="121">
        <f>+C30-C31-C32</f>
        <v>-11300</v>
      </c>
      <c r="D29" s="121">
        <f>+D30-D31-D32</f>
        <v>-4277</v>
      </c>
      <c r="E29" s="121">
        <f>+E30-E31-E32</f>
        <v>-211</v>
      </c>
      <c r="F29" s="121">
        <f>+F30-F31-F32</f>
        <v>23907</v>
      </c>
      <c r="H29" s="121">
        <f>+H30-H31-H32</f>
        <v>-13615</v>
      </c>
      <c r="I29" s="121">
        <f>+I30-I31-I32</f>
        <v>8228</v>
      </c>
      <c r="J29" s="121">
        <f>+J30-J31-J32</f>
        <v>-13502</v>
      </c>
      <c r="K29" s="121">
        <f>+K30-K31-K32</f>
        <v>15800</v>
      </c>
      <c r="L29" s="121">
        <f>+L30-L31-L32</f>
        <v>-4429</v>
      </c>
      <c r="N29" s="121">
        <f t="shared" ref="N29:U29" si="43">+N30-N31-N32</f>
        <v>-12460</v>
      </c>
      <c r="O29" s="121">
        <f t="shared" si="43"/>
        <v>7476</v>
      </c>
      <c r="P29" s="121">
        <f t="shared" si="43"/>
        <v>1158</v>
      </c>
      <c r="Q29" s="121">
        <f t="shared" si="43"/>
        <v>1158</v>
      </c>
      <c r="R29" s="121">
        <f t="shared" si="43"/>
        <v>-2137</v>
      </c>
      <c r="S29" s="121">
        <f t="shared" si="43"/>
        <v>-2137</v>
      </c>
      <c r="T29" s="121">
        <f t="shared" si="43"/>
        <v>8879</v>
      </c>
      <c r="U29" s="121">
        <f t="shared" si="43"/>
        <v>9621</v>
      </c>
      <c r="V29" s="121"/>
      <c r="W29" s="121">
        <f t="shared" ref="W29:AC29" si="44">+W30-W31-W32</f>
        <v>-7807</v>
      </c>
      <c r="X29" s="121">
        <f t="shared" si="44"/>
        <v>-7813</v>
      </c>
      <c r="Y29" s="121">
        <f t="shared" si="44"/>
        <v>-129</v>
      </c>
      <c r="Z29" s="121">
        <f t="shared" si="44"/>
        <v>-116</v>
      </c>
      <c r="AA29" s="121">
        <f t="shared" si="44"/>
        <v>-8214</v>
      </c>
      <c r="AB29" s="121">
        <f t="shared" si="44"/>
        <v>-8269</v>
      </c>
      <c r="AC29" s="121">
        <f t="shared" si="44"/>
        <v>-3683</v>
      </c>
      <c r="AD29" s="4"/>
      <c r="AE29" s="121">
        <f>+AE30-AE31-AE32</f>
        <v>2756</v>
      </c>
      <c r="AF29" s="121">
        <f>+AF30-AF31-AF32</f>
        <v>-545</v>
      </c>
      <c r="AG29" s="121">
        <f>+AG30-AG31-AG32</f>
        <v>-4024</v>
      </c>
      <c r="AH29" s="121">
        <f>+AH30-AH31-AH32</f>
        <v>29563</v>
      </c>
      <c r="AI29" s="4"/>
      <c r="AJ29" s="121">
        <f>+AJ30-AJ31-AJ32</f>
        <v>-1269</v>
      </c>
      <c r="AK29" s="121">
        <f>+AK30-AK31-AK32</f>
        <v>-5827</v>
      </c>
      <c r="AL29" s="121">
        <f>+AL30-AL31-AL32</f>
        <v>4012</v>
      </c>
      <c r="AM29" s="121">
        <f>+AM30-AM31-AM32</f>
        <v>-1397</v>
      </c>
      <c r="AN29" s="4"/>
      <c r="AO29" s="121">
        <f>+AO30-AO31-AO32</f>
        <v>-930</v>
      </c>
      <c r="AP29" s="121">
        <f t="shared" ref="AP29:AR29" si="45">+AP30-AP31-AP32</f>
        <v>-6152</v>
      </c>
      <c r="AQ29" s="121">
        <f t="shared" si="45"/>
        <v>-644</v>
      </c>
      <c r="AR29" s="121">
        <f t="shared" si="45"/>
        <v>-151</v>
      </c>
      <c r="AS29" s="121"/>
      <c r="AT29" s="121">
        <f>+AT30-AT31-AT32</f>
        <v>-559</v>
      </c>
      <c r="AU29" s="121">
        <f t="shared" ref="AU29:AW29" si="46">+AU30-AU31-AU32</f>
        <v>-2081</v>
      </c>
      <c r="AV29" s="121">
        <f t="shared" si="46"/>
        <v>-35</v>
      </c>
      <c r="AW29" s="121">
        <f t="shared" si="46"/>
        <v>-8025</v>
      </c>
      <c r="AX29" s="121"/>
      <c r="AY29" s="121">
        <f>+AY30-AY31-AY32</f>
        <v>-2798</v>
      </c>
      <c r="AZ29" s="121">
        <f t="shared" ref="AZ29" si="47">+AZ30-AZ31-AZ32</f>
        <v>140</v>
      </c>
      <c r="BA29" s="121">
        <v>-4542</v>
      </c>
      <c r="BB29" s="121">
        <f t="shared" ref="BB29" si="48">+BB30-BB31-BB32</f>
        <v>-6222</v>
      </c>
      <c r="BC29" s="121"/>
      <c r="BD29" s="121">
        <v>-4386</v>
      </c>
      <c r="BE29" s="121">
        <v>-2762</v>
      </c>
      <c r="BF29" s="121">
        <v>-4871</v>
      </c>
      <c r="BG29" s="121">
        <v>-3006</v>
      </c>
    </row>
    <row r="30" spans="2:59" ht="15" customHeight="1">
      <c r="B30" s="51" t="s">
        <v>10</v>
      </c>
      <c r="C30" s="199">
        <v>25</v>
      </c>
      <c r="D30" s="199">
        <v>170</v>
      </c>
      <c r="E30" s="199">
        <v>4873</v>
      </c>
      <c r="F30" s="199">
        <v>22881</v>
      </c>
      <c r="H30" s="199">
        <f>374+1</f>
        <v>375</v>
      </c>
      <c r="I30" s="199">
        <f>11002-2</f>
        <v>11000</v>
      </c>
      <c r="J30" s="199">
        <v>572</v>
      </c>
      <c r="K30" s="199">
        <v>19451</v>
      </c>
      <c r="L30" s="199">
        <v>19491</v>
      </c>
      <c r="N30" s="199">
        <v>495</v>
      </c>
      <c r="O30" s="199">
        <v>495</v>
      </c>
      <c r="P30" s="199">
        <v>3909</v>
      </c>
      <c r="Q30" s="199">
        <v>3909</v>
      </c>
      <c r="R30" s="199">
        <v>255</v>
      </c>
      <c r="S30" s="199">
        <v>255</v>
      </c>
      <c r="T30" s="199">
        <v>19179</v>
      </c>
      <c r="U30" s="4">
        <f>19179+939</f>
        <v>20118</v>
      </c>
      <c r="W30" s="199">
        <v>168</v>
      </c>
      <c r="X30" s="199">
        <v>175</v>
      </c>
      <c r="Y30" s="122">
        <v>7236</v>
      </c>
      <c r="Z30" s="122">
        <f>7236+14</f>
        <v>7250</v>
      </c>
      <c r="AA30" s="199">
        <v>131</v>
      </c>
      <c r="AB30" s="199">
        <f>131+97</f>
        <v>228</v>
      </c>
      <c r="AC30" s="122">
        <v>3706</v>
      </c>
      <c r="AD30" s="4"/>
      <c r="AE30" s="199">
        <v>7414</v>
      </c>
      <c r="AF30" s="122">
        <v>1826</v>
      </c>
      <c r="AG30" s="122">
        <v>2789</v>
      </c>
      <c r="AH30" s="122">
        <v>31561</v>
      </c>
      <c r="AI30" s="4"/>
      <c r="AJ30" s="199">
        <v>200</v>
      </c>
      <c r="AK30" s="122">
        <v>464</v>
      </c>
      <c r="AL30" s="122">
        <v>5315</v>
      </c>
      <c r="AM30" s="122">
        <v>1043</v>
      </c>
      <c r="AN30" s="4"/>
      <c r="AO30" s="199">
        <v>593</v>
      </c>
      <c r="AP30" s="122">
        <v>64</v>
      </c>
      <c r="AQ30" s="122">
        <v>212</v>
      </c>
      <c r="AR30" s="122">
        <v>2269</v>
      </c>
      <c r="AS30" s="124"/>
      <c r="AT30" s="199">
        <v>241</v>
      </c>
      <c r="AU30" s="122">
        <v>5433</v>
      </c>
      <c r="AV30" s="122">
        <v>399</v>
      </c>
      <c r="AW30" s="122">
        <v>1944</v>
      </c>
      <c r="AX30" s="124"/>
      <c r="AY30" s="199">
        <v>128</v>
      </c>
      <c r="AZ30" s="122">
        <v>1021</v>
      </c>
      <c r="BA30" s="122">
        <v>599</v>
      </c>
      <c r="BB30" s="122">
        <v>235</v>
      </c>
      <c r="BC30" s="124"/>
      <c r="BD30" s="199">
        <v>514</v>
      </c>
      <c r="BE30" s="199">
        <v>807</v>
      </c>
      <c r="BF30" s="199">
        <v>-38</v>
      </c>
      <c r="BG30" s="122">
        <v>41</v>
      </c>
    </row>
    <row r="31" spans="2:59" s="251" customFormat="1" ht="15" customHeight="1">
      <c r="B31" s="51" t="s">
        <v>11</v>
      </c>
      <c r="C31" s="250">
        <v>11325</v>
      </c>
      <c r="D31" s="250">
        <v>4447</v>
      </c>
      <c r="E31" s="250">
        <v>5084</v>
      </c>
      <c r="F31" s="250">
        <v>-1026</v>
      </c>
      <c r="G31" s="250"/>
      <c r="H31" s="250">
        <v>3874</v>
      </c>
      <c r="I31" s="250">
        <f>3221-1</f>
        <v>3220</v>
      </c>
      <c r="J31" s="250">
        <v>14074</v>
      </c>
      <c r="K31" s="250">
        <v>3651</v>
      </c>
      <c r="L31" s="250">
        <v>23920</v>
      </c>
      <c r="M31" s="250"/>
      <c r="N31" s="250">
        <v>2987</v>
      </c>
      <c r="O31" s="250">
        <v>2987</v>
      </c>
      <c r="P31" s="250">
        <v>2751</v>
      </c>
      <c r="Q31" s="250">
        <v>2751</v>
      </c>
      <c r="R31" s="250">
        <v>2392</v>
      </c>
      <c r="S31" s="250">
        <v>2392</v>
      </c>
      <c r="T31" s="250">
        <v>10300</v>
      </c>
      <c r="U31" s="250">
        <f>10300+197</f>
        <v>10497</v>
      </c>
      <c r="W31" s="250">
        <v>4640</v>
      </c>
      <c r="X31" s="250">
        <v>4653</v>
      </c>
      <c r="Y31" s="252">
        <v>7291</v>
      </c>
      <c r="Z31" s="252">
        <v>7291</v>
      </c>
      <c r="AA31" s="252">
        <v>8344</v>
      </c>
      <c r="AB31" s="252">
        <f>8344+153</f>
        <v>8497</v>
      </c>
      <c r="AC31" s="252">
        <v>7389</v>
      </c>
      <c r="AD31" s="208"/>
      <c r="AE31" s="250">
        <v>4658</v>
      </c>
      <c r="AF31" s="252">
        <v>2371</v>
      </c>
      <c r="AG31" s="252">
        <v>6813</v>
      </c>
      <c r="AH31" s="252">
        <v>1998</v>
      </c>
      <c r="AI31" s="208"/>
      <c r="AJ31" s="250">
        <v>1469</v>
      </c>
      <c r="AK31" s="252">
        <v>6291</v>
      </c>
      <c r="AL31" s="252">
        <v>1303</v>
      </c>
      <c r="AM31" s="252">
        <v>2440</v>
      </c>
      <c r="AN31" s="208"/>
      <c r="AO31" s="250">
        <v>1523</v>
      </c>
      <c r="AP31" s="252">
        <v>6216</v>
      </c>
      <c r="AQ31" s="252">
        <v>856</v>
      </c>
      <c r="AR31" s="252">
        <v>2420</v>
      </c>
      <c r="AS31" s="252"/>
      <c r="AT31" s="250">
        <v>800</v>
      </c>
      <c r="AU31" s="252">
        <v>7514</v>
      </c>
      <c r="AV31" s="252">
        <v>434</v>
      </c>
      <c r="AW31" s="252">
        <v>9969</v>
      </c>
      <c r="AX31" s="252"/>
      <c r="AY31" s="250">
        <v>2926</v>
      </c>
      <c r="AZ31" s="252">
        <v>881</v>
      </c>
      <c r="BA31" s="252">
        <v>5141</v>
      </c>
      <c r="BB31" s="252">
        <v>6457</v>
      </c>
      <c r="BC31" s="252"/>
      <c r="BD31" s="250">
        <v>4900</v>
      </c>
      <c r="BE31" s="250">
        <v>3569</v>
      </c>
      <c r="BF31" s="250">
        <v>4833</v>
      </c>
      <c r="BG31" s="252">
        <v>3047</v>
      </c>
    </row>
    <row r="32" spans="2:59" ht="12.5">
      <c r="B32" s="8" t="s">
        <v>20</v>
      </c>
      <c r="C32" s="54">
        <v>0</v>
      </c>
      <c r="D32" s="54">
        <v>0</v>
      </c>
      <c r="E32" s="54">
        <v>0</v>
      </c>
      <c r="F32" s="54">
        <v>0</v>
      </c>
      <c r="G32" s="135"/>
      <c r="H32" s="123">
        <v>10116</v>
      </c>
      <c r="I32" s="123">
        <v>-448</v>
      </c>
      <c r="J32" s="54">
        <v>0</v>
      </c>
      <c r="K32" s="54">
        <v>0</v>
      </c>
      <c r="L32" s="54">
        <v>0</v>
      </c>
      <c r="N32" s="123">
        <v>9968</v>
      </c>
      <c r="O32" s="123">
        <v>-9968</v>
      </c>
      <c r="P32" s="123">
        <v>0</v>
      </c>
      <c r="Q32" s="123">
        <v>0</v>
      </c>
      <c r="R32" s="123">
        <v>0</v>
      </c>
      <c r="S32" s="123">
        <v>0</v>
      </c>
      <c r="T32" s="123"/>
      <c r="U32" s="123"/>
      <c r="W32" s="123">
        <v>3335</v>
      </c>
      <c r="X32" s="123">
        <v>3335</v>
      </c>
      <c r="Y32" s="122">
        <v>74</v>
      </c>
      <c r="Z32" s="122">
        <v>75</v>
      </c>
      <c r="AA32" s="122">
        <v>1</v>
      </c>
      <c r="AB32" s="122">
        <f>-1+1</f>
        <v>0</v>
      </c>
      <c r="AC32" s="131">
        <v>0</v>
      </c>
      <c r="AD32" s="4"/>
      <c r="AE32" s="123">
        <v>0</v>
      </c>
      <c r="AF32" s="122">
        <v>0</v>
      </c>
      <c r="AG32" s="122">
        <v>0</v>
      </c>
      <c r="AH32" s="122">
        <v>0</v>
      </c>
      <c r="AI32" s="4"/>
      <c r="AJ32" s="123">
        <v>0</v>
      </c>
      <c r="AK32" s="122">
        <v>0</v>
      </c>
      <c r="AL32" s="122">
        <v>0</v>
      </c>
      <c r="AM32" s="122">
        <v>0</v>
      </c>
      <c r="AN32" s="4"/>
      <c r="AO32" s="123">
        <v>0</v>
      </c>
      <c r="AP32" s="122"/>
      <c r="AQ32" s="122"/>
      <c r="AR32" s="123">
        <v>0</v>
      </c>
      <c r="AS32" s="124"/>
      <c r="AT32" s="123">
        <v>0</v>
      </c>
      <c r="AU32" s="122"/>
      <c r="AV32" s="122"/>
      <c r="AW32" s="122"/>
      <c r="AX32" s="124"/>
      <c r="AY32" s="123">
        <v>0</v>
      </c>
      <c r="AZ32" s="122"/>
      <c r="BA32" s="122"/>
      <c r="BB32" s="122"/>
      <c r="BC32" s="124"/>
      <c r="BD32" s="123">
        <v>0</v>
      </c>
      <c r="BE32" s="123">
        <v>0</v>
      </c>
      <c r="BF32" s="123"/>
      <c r="BG32" s="123">
        <v>0</v>
      </c>
    </row>
    <row r="33" spans="2:59" ht="1.5" customHeight="1">
      <c r="C33" s="199"/>
      <c r="D33" s="199"/>
      <c r="E33" s="199"/>
      <c r="F33" s="199"/>
      <c r="H33" s="199"/>
      <c r="I33" s="199"/>
      <c r="J33" s="199"/>
      <c r="K33" s="199"/>
      <c r="L33" s="199"/>
      <c r="N33" s="199"/>
      <c r="O33" s="199"/>
      <c r="P33" s="199"/>
      <c r="Q33" s="199"/>
      <c r="R33" s="199"/>
      <c r="S33" s="199"/>
      <c r="T33" s="199"/>
      <c r="U33" s="199"/>
      <c r="W33" s="199"/>
      <c r="X33" s="199"/>
      <c r="AD33" s="4"/>
      <c r="AE33" s="199"/>
      <c r="AI33" s="4"/>
      <c r="AJ33" s="199"/>
      <c r="AN33" s="4"/>
      <c r="AO33" s="199"/>
      <c r="AQ33" s="261"/>
      <c r="AT33" s="199"/>
      <c r="AV33"/>
      <c r="AY33" s="199"/>
      <c r="BD33" s="199"/>
      <c r="BE33" s="199"/>
      <c r="BF33" s="199"/>
    </row>
    <row r="34" spans="2:59" ht="1.5" customHeight="1">
      <c r="C34" s="199"/>
      <c r="D34" s="199"/>
      <c r="E34" s="199"/>
      <c r="F34" s="199"/>
      <c r="H34" s="199"/>
      <c r="I34" s="199"/>
      <c r="J34" s="199"/>
      <c r="K34" s="199"/>
      <c r="L34" s="199">
        <v>0</v>
      </c>
      <c r="N34" s="199"/>
      <c r="O34" s="199"/>
      <c r="P34" s="199"/>
      <c r="Q34" s="199"/>
      <c r="R34" s="199"/>
      <c r="S34" s="199"/>
      <c r="T34" s="199"/>
      <c r="U34" s="199"/>
      <c r="W34" s="199"/>
      <c r="X34" s="199"/>
      <c r="AD34" s="4"/>
      <c r="AE34" s="199"/>
      <c r="AI34" s="4"/>
      <c r="AJ34" s="199"/>
      <c r="AN34" s="4"/>
      <c r="AO34" s="199"/>
      <c r="AQ34" s="261"/>
      <c r="AT34" s="199"/>
      <c r="AV34"/>
      <c r="AY34" s="199"/>
      <c r="BD34" s="199"/>
      <c r="BE34" s="199"/>
      <c r="BF34" s="199"/>
    </row>
    <row r="35" spans="2:59" s="2" customFormat="1" ht="16.5" customHeight="1">
      <c r="B35" s="2" t="s">
        <v>13</v>
      </c>
      <c r="C35" s="6">
        <f>+C20-C23+C29</f>
        <v>157326</v>
      </c>
      <c r="D35" s="6">
        <f>+D20-D23+D29</f>
        <v>69174</v>
      </c>
      <c r="E35" s="6">
        <f>+E20-E23+E29</f>
        <v>32011</v>
      </c>
      <c r="F35" s="121">
        <f>+F20-F23+F29</f>
        <v>-36412</v>
      </c>
      <c r="H35" s="6">
        <f>+H20-H23+H29</f>
        <v>77052</v>
      </c>
      <c r="I35" s="6">
        <f>+I20-I23+I29</f>
        <v>112640</v>
      </c>
      <c r="J35" s="6">
        <f>+J20-J23+J29</f>
        <v>331798</v>
      </c>
      <c r="K35" s="121">
        <f>+K20-K23+K29</f>
        <v>-16184</v>
      </c>
      <c r="L35" s="121">
        <f>+L20-L23+L29</f>
        <v>9791</v>
      </c>
      <c r="N35" s="6">
        <f t="shared" ref="N35:U35" si="49">+N20-N23+N29</f>
        <v>104796</v>
      </c>
      <c r="O35" s="6">
        <f t="shared" si="49"/>
        <v>118596</v>
      </c>
      <c r="P35" s="6">
        <f t="shared" si="49"/>
        <v>96801</v>
      </c>
      <c r="Q35" s="6">
        <f t="shared" si="49"/>
        <v>102617</v>
      </c>
      <c r="R35" s="6">
        <f t="shared" si="49"/>
        <v>89447</v>
      </c>
      <c r="S35" s="6">
        <f t="shared" si="49"/>
        <v>110253</v>
      </c>
      <c r="T35" s="6">
        <f t="shared" si="49"/>
        <v>213911</v>
      </c>
      <c r="U35" s="6">
        <f t="shared" si="49"/>
        <v>203614</v>
      </c>
      <c r="W35" s="6">
        <f t="shared" ref="W35:AC35" si="50">+W20-W23+W29</f>
        <v>120062</v>
      </c>
      <c r="X35" s="6">
        <f t="shared" si="50"/>
        <v>120903</v>
      </c>
      <c r="Y35" s="6">
        <f t="shared" si="50"/>
        <v>94589</v>
      </c>
      <c r="Z35" s="6">
        <f t="shared" si="50"/>
        <v>95655</v>
      </c>
      <c r="AA35" s="6">
        <f t="shared" si="50"/>
        <v>404217</v>
      </c>
      <c r="AB35" s="6">
        <f t="shared" si="50"/>
        <v>404344</v>
      </c>
      <c r="AC35" s="121">
        <f t="shared" si="50"/>
        <v>-11154</v>
      </c>
      <c r="AD35" s="4"/>
      <c r="AE35" s="6">
        <f t="shared" ref="AE35:AH35" si="51">+AE20-AE23+AE29</f>
        <v>512681</v>
      </c>
      <c r="AF35" s="6">
        <f t="shared" si="51"/>
        <v>69830</v>
      </c>
      <c r="AG35" s="6">
        <f t="shared" si="51"/>
        <v>221714</v>
      </c>
      <c r="AH35" s="121">
        <f t="shared" si="51"/>
        <v>153500</v>
      </c>
      <c r="AI35" s="4"/>
      <c r="AJ35" s="6">
        <f t="shared" ref="AJ35:AM35" si="52">+AJ20-AJ23+AJ29</f>
        <v>195839</v>
      </c>
      <c r="AK35" s="6">
        <f t="shared" si="52"/>
        <v>62382</v>
      </c>
      <c r="AL35" s="6">
        <f t="shared" si="52"/>
        <v>234326</v>
      </c>
      <c r="AM35" s="121">
        <f t="shared" si="52"/>
        <v>106106</v>
      </c>
      <c r="AN35" s="4"/>
      <c r="AO35" s="6">
        <f>+AO20-AO23+AO29</f>
        <v>128457</v>
      </c>
      <c r="AP35" s="6">
        <f t="shared" ref="AP35:AR35" si="53">+AP20-AP23+AP29</f>
        <v>-11557</v>
      </c>
      <c r="AQ35" s="6">
        <f t="shared" si="53"/>
        <v>-5718</v>
      </c>
      <c r="AR35" s="121">
        <f t="shared" si="53"/>
        <v>-46477</v>
      </c>
      <c r="AS35" s="121"/>
      <c r="AT35" s="6">
        <f>+AT20-AT23+AT29</f>
        <v>137243</v>
      </c>
      <c r="AU35" s="6">
        <f t="shared" ref="AU35:AW35" si="54">+AU20-AU23+AU29</f>
        <v>129073</v>
      </c>
      <c r="AV35" s="6">
        <f t="shared" si="54"/>
        <v>131638</v>
      </c>
      <c r="AW35" s="121">
        <f t="shared" si="54"/>
        <v>4419</v>
      </c>
      <c r="AX35" s="121"/>
      <c r="AY35" s="6">
        <f>+AY20-AY23+AY29</f>
        <v>194354</v>
      </c>
      <c r="AZ35" s="6">
        <f t="shared" ref="AZ35" si="55">+AZ20-AZ23+AZ29</f>
        <v>120858</v>
      </c>
      <c r="BA35" s="6">
        <v>108821</v>
      </c>
      <c r="BB35" s="121">
        <f t="shared" ref="BB35" si="56">+BB20-BB23+BB29</f>
        <v>37966</v>
      </c>
      <c r="BC35" s="121"/>
      <c r="BD35" s="6">
        <v>353459</v>
      </c>
      <c r="BE35" s="6">
        <v>408641</v>
      </c>
      <c r="BF35" s="6">
        <v>166304.40470000001</v>
      </c>
      <c r="BG35" s="121">
        <v>13820.595300000001</v>
      </c>
    </row>
    <row r="36" spans="2:59" s="236" customFormat="1" ht="17.25" hidden="1" customHeight="1">
      <c r="B36" s="235" t="s">
        <v>48</v>
      </c>
      <c r="C36" s="209">
        <v>77.680000000000007</v>
      </c>
      <c r="D36" s="209">
        <v>38.21</v>
      </c>
      <c r="E36" s="209">
        <v>16.28</v>
      </c>
      <c r="F36" s="209">
        <v>-14.13</v>
      </c>
      <c r="H36" s="209">
        <v>31.93</v>
      </c>
      <c r="I36" s="209">
        <v>45.33</v>
      </c>
      <c r="J36" s="209">
        <v>110.33</v>
      </c>
      <c r="K36" s="209">
        <f>-2.52-(3726/3244.51)</f>
        <v>-3.6684014535322742</v>
      </c>
      <c r="L36" s="209">
        <v>-187.59</v>
      </c>
      <c r="N36" s="209">
        <v>31.93</v>
      </c>
      <c r="O36" s="209">
        <v>31.93</v>
      </c>
      <c r="P36" s="209">
        <v>31.93</v>
      </c>
      <c r="Q36" s="209"/>
      <c r="R36" s="209">
        <v>31.93</v>
      </c>
      <c r="S36" s="209"/>
      <c r="T36" s="209">
        <v>32.93</v>
      </c>
      <c r="U36" s="209">
        <v>32.93</v>
      </c>
      <c r="W36" s="209">
        <v>31.93</v>
      </c>
      <c r="X36" s="209">
        <v>31.93</v>
      </c>
      <c r="AD36" s="4"/>
      <c r="AE36" s="209">
        <v>31.93</v>
      </c>
      <c r="AI36" s="4"/>
      <c r="AJ36" s="209">
        <v>31.93</v>
      </c>
      <c r="AN36" s="4"/>
      <c r="AO36" s="209">
        <v>31.93</v>
      </c>
      <c r="AT36" s="209">
        <v>31.93</v>
      </c>
      <c r="AY36" s="209">
        <v>31.93</v>
      </c>
      <c r="BD36" s="209">
        <v>31.93</v>
      </c>
      <c r="BE36" s="209"/>
      <c r="BF36" s="209"/>
    </row>
    <row r="37" spans="2:59" ht="15.75" customHeight="1">
      <c r="B37" s="7" t="s">
        <v>47</v>
      </c>
      <c r="C37" s="49">
        <f>+C35/C$10</f>
        <v>0.66918473336991335</v>
      </c>
      <c r="D37" s="49">
        <f>+D35/D$10</f>
        <v>0.33004437234600886</v>
      </c>
      <c r="E37" s="49">
        <f>+E35/E$10</f>
        <v>0.27199422210893026</v>
      </c>
      <c r="F37" s="49">
        <f>+F35/F$10</f>
        <v>-0.49519250384191704</v>
      </c>
      <c r="H37" s="49">
        <f>+H35/H$10</f>
        <v>0.61229160375709224</v>
      </c>
      <c r="I37" s="49">
        <f>+I35/I$10</f>
        <v>0.65912588578818321</v>
      </c>
      <c r="J37" s="49">
        <f>+J35/J$10</f>
        <v>0.47712366608044426</v>
      </c>
      <c r="K37" s="49">
        <f t="shared" ref="K37:L37" si="57">+K35/K$10</f>
        <v>-0.15467395563541139</v>
      </c>
      <c r="L37" s="49">
        <f t="shared" si="57"/>
        <v>6.4326025399286502E-2</v>
      </c>
      <c r="N37" s="49">
        <f t="shared" ref="N37:U37" si="58">+N35/N$10</f>
        <v>0.62455153342789371</v>
      </c>
      <c r="O37" s="49">
        <f t="shared" si="58"/>
        <v>0.73362283338900647</v>
      </c>
      <c r="P37" s="49">
        <f t="shared" si="58"/>
        <v>0.84519475076616812</v>
      </c>
      <c r="Q37" s="49">
        <f t="shared" si="58"/>
        <v>0.85267601186568842</v>
      </c>
      <c r="R37" s="49">
        <f t="shared" si="58"/>
        <v>0.46364333772198091</v>
      </c>
      <c r="S37" s="49">
        <f t="shared" si="58"/>
        <v>0.51587108486725741</v>
      </c>
      <c r="T37" s="49">
        <f t="shared" si="58"/>
        <v>0.34381107596564314</v>
      </c>
      <c r="U37" s="49">
        <f t="shared" si="58"/>
        <v>0.33067157767892957</v>
      </c>
      <c r="W37" s="49">
        <f t="shared" ref="W37:AC37" si="59">+W35/W$10</f>
        <v>0.68246515540801711</v>
      </c>
      <c r="X37" s="49">
        <f t="shared" si="59"/>
        <v>0.67693711751762287</v>
      </c>
      <c r="Y37" s="49">
        <f t="shared" si="59"/>
        <v>0.44797488017883191</v>
      </c>
      <c r="Z37" s="49">
        <f t="shared" si="59"/>
        <v>0.44998870970776961</v>
      </c>
      <c r="AA37" s="49">
        <f t="shared" si="59"/>
        <v>0.53570604996355442</v>
      </c>
      <c r="AB37" s="49">
        <f t="shared" si="59"/>
        <v>0.53564081130883223</v>
      </c>
      <c r="AC37" s="49">
        <f t="shared" si="59"/>
        <v>-0.22962429233144621</v>
      </c>
      <c r="AD37" s="4"/>
      <c r="AE37" s="49">
        <f t="shared" ref="AE37:AH37" si="60">+AE35/AE$10</f>
        <v>0.60242270560918976</v>
      </c>
      <c r="AF37" s="49">
        <f t="shared" si="60"/>
        <v>0.70871096406207179</v>
      </c>
      <c r="AG37" s="49">
        <f t="shared" si="60"/>
        <v>0.90029561290951321</v>
      </c>
      <c r="AH37" s="49">
        <f t="shared" si="60"/>
        <v>0.83482441494308512</v>
      </c>
      <c r="AI37" s="4"/>
      <c r="AJ37" s="49">
        <f t="shared" ref="AJ37:AM37" si="61">+AJ35/AJ$10</f>
        <v>0.63653738018546269</v>
      </c>
      <c r="AK37" s="49">
        <f t="shared" si="61"/>
        <v>0.64789580823397452</v>
      </c>
      <c r="AL37" s="49">
        <f t="shared" si="61"/>
        <v>0.91405055390856604</v>
      </c>
      <c r="AM37" s="49">
        <f t="shared" si="61"/>
        <v>0.57260810672250317</v>
      </c>
      <c r="AN37" s="4"/>
      <c r="AO37" s="49">
        <f t="shared" ref="AO37:AR37" si="62">+AO35/AO$10</f>
        <v>0.64148314606741574</v>
      </c>
      <c r="AP37" s="49">
        <f t="shared" si="62"/>
        <v>-0.40725209669462259</v>
      </c>
      <c r="AQ37" s="49">
        <f t="shared" si="62"/>
        <v>-0.23663300778016885</v>
      </c>
      <c r="AR37" s="49">
        <f t="shared" si="62"/>
        <v>-13.222475106685634</v>
      </c>
      <c r="AS37" s="49"/>
      <c r="AT37" s="49">
        <f t="shared" ref="AT37:AW37" si="63">+AT35/AT$10</f>
        <v>0.72557758392809935</v>
      </c>
      <c r="AU37" s="49">
        <f t="shared" si="63"/>
        <v>0.58808011590927733</v>
      </c>
      <c r="AV37" s="49">
        <f t="shared" si="63"/>
        <v>0.77007856511895922</v>
      </c>
      <c r="AW37" s="49">
        <f t="shared" si="63"/>
        <v>6.0379575607689889E-2</v>
      </c>
      <c r="AX37" s="49"/>
      <c r="AY37" s="49">
        <f t="shared" ref="AY37:AZ37" si="64">+AY35/AY$10</f>
        <v>0.68263607658292091</v>
      </c>
      <c r="AZ37" s="49">
        <f t="shared" si="64"/>
        <v>0.70245042196545227</v>
      </c>
      <c r="BA37" s="49">
        <v>0.65432625819253198</v>
      </c>
      <c r="BB37" s="49">
        <f t="shared" ref="BB37" si="65">+BB35/BB$10</f>
        <v>0.24319563393183144</v>
      </c>
      <c r="BC37" s="49"/>
      <c r="BD37" s="49">
        <v>0.82386190146540894</v>
      </c>
      <c r="BE37" s="49">
        <v>0.73606462885242363</v>
      </c>
      <c r="BF37" s="49">
        <v>0.61643081812992528</v>
      </c>
      <c r="BG37" s="49">
        <v>7.9780384222405673E-2</v>
      </c>
    </row>
    <row r="38" spans="2:59" ht="3.75" customHeight="1">
      <c r="B38" s="8"/>
      <c r="C38" s="199"/>
      <c r="D38" s="199"/>
      <c r="E38" s="199"/>
      <c r="F38" s="199"/>
      <c r="H38" s="199"/>
      <c r="I38" s="199"/>
      <c r="J38" s="199"/>
      <c r="K38" s="199"/>
      <c r="L38" s="199"/>
      <c r="N38" s="199"/>
      <c r="O38" s="199"/>
      <c r="P38" s="199"/>
      <c r="Q38" s="199"/>
      <c r="R38" s="199"/>
      <c r="S38" s="199"/>
      <c r="T38" s="199"/>
      <c r="U38" s="199"/>
      <c r="W38" s="199"/>
      <c r="X38" s="199"/>
      <c r="AD38" s="4"/>
      <c r="AE38" s="199"/>
      <c r="AI38" s="4"/>
      <c r="AJ38" s="199"/>
      <c r="AN38" s="4"/>
      <c r="AO38" s="199"/>
      <c r="AQ38" s="261"/>
      <c r="AT38" s="199"/>
      <c r="AV38"/>
      <c r="AY38" s="199"/>
      <c r="BD38" s="199"/>
      <c r="BE38" s="199"/>
      <c r="BF38" s="199"/>
    </row>
    <row r="39" spans="2:59" s="2" customFormat="1" ht="16.5" customHeight="1">
      <c r="B39" s="57" t="s">
        <v>5</v>
      </c>
      <c r="C39" s="229">
        <f>+C35+C25+C27-C32</f>
        <v>157354</v>
      </c>
      <c r="D39" s="229">
        <f>+D35+D25+D27-D32</f>
        <v>69202</v>
      </c>
      <c r="E39" s="229">
        <f>+E35+E25+E27-E32</f>
        <v>32106</v>
      </c>
      <c r="F39" s="229">
        <f>+F35+F25+F27-F32</f>
        <v>-34104</v>
      </c>
      <c r="G39" s="55"/>
      <c r="H39" s="229">
        <f>+H35+H25+H27-H32</f>
        <v>67617</v>
      </c>
      <c r="I39" s="229">
        <f>+I35+I25+I27-I32</f>
        <v>113769</v>
      </c>
      <c r="J39" s="229">
        <f>+J35+J25+J27-J32</f>
        <v>332593</v>
      </c>
      <c r="K39" s="229">
        <f>+K35+K25+K27-K32</f>
        <v>-15445</v>
      </c>
      <c r="L39" s="229">
        <f>+L35+L25+L27-L32</f>
        <v>10227</v>
      </c>
      <c r="N39" s="229">
        <f t="shared" ref="N39:U39" si="66">+N35+N25+N27-N32</f>
        <v>95702</v>
      </c>
      <c r="O39" s="229">
        <f t="shared" si="66"/>
        <v>129438</v>
      </c>
      <c r="P39" s="229">
        <f t="shared" si="66"/>
        <v>97667</v>
      </c>
      <c r="Q39" s="229">
        <f t="shared" si="66"/>
        <v>103483</v>
      </c>
      <c r="R39" s="229">
        <f t="shared" si="66"/>
        <v>90313</v>
      </c>
      <c r="S39" s="229">
        <f t="shared" si="66"/>
        <v>111113</v>
      </c>
      <c r="T39" s="229">
        <f t="shared" si="66"/>
        <v>214717</v>
      </c>
      <c r="U39" s="229">
        <f t="shared" si="66"/>
        <v>204513</v>
      </c>
      <c r="W39" s="229">
        <f t="shared" ref="W39:AC39" si="67">+W35+W25+W27-W32</f>
        <v>117401</v>
      </c>
      <c r="X39" s="229">
        <f t="shared" si="67"/>
        <v>118263</v>
      </c>
      <c r="Y39" s="229">
        <f t="shared" si="67"/>
        <v>95187</v>
      </c>
      <c r="Z39" s="229">
        <f t="shared" si="67"/>
        <v>96273</v>
      </c>
      <c r="AA39" s="229">
        <f t="shared" si="67"/>
        <v>420387</v>
      </c>
      <c r="AB39" s="229">
        <f t="shared" si="67"/>
        <v>420537</v>
      </c>
      <c r="AC39" s="198">
        <f t="shared" si="67"/>
        <v>-10221</v>
      </c>
      <c r="AD39" s="4"/>
      <c r="AE39" s="229">
        <f t="shared" ref="AE39:AH39" si="68">+AE35+AE25+AE27-AE32</f>
        <v>513569</v>
      </c>
      <c r="AF39" s="229">
        <f t="shared" si="68"/>
        <v>70720</v>
      </c>
      <c r="AG39" s="229">
        <f t="shared" si="68"/>
        <v>222603</v>
      </c>
      <c r="AH39" s="198">
        <f t="shared" si="68"/>
        <v>172936</v>
      </c>
      <c r="AI39" s="4"/>
      <c r="AJ39" s="229">
        <f t="shared" ref="AJ39:AM39" si="69">+AJ35+AJ25+AJ27-AJ32</f>
        <v>199927</v>
      </c>
      <c r="AK39" s="229">
        <f t="shared" si="69"/>
        <v>66355</v>
      </c>
      <c r="AL39" s="229">
        <f t="shared" si="69"/>
        <v>238325</v>
      </c>
      <c r="AM39" s="198">
        <f t="shared" si="69"/>
        <v>110436</v>
      </c>
      <c r="AN39" s="4"/>
      <c r="AO39" s="229">
        <f t="shared" ref="AO39:AP39" si="70">+AO35+AO25+AO27-AO32</f>
        <v>132217</v>
      </c>
      <c r="AP39" s="229">
        <f t="shared" si="70"/>
        <v>-7205</v>
      </c>
      <c r="AQ39" s="229">
        <f>+AQ35+AQ25+AQ27-AQ32</f>
        <v>-7</v>
      </c>
      <c r="AR39" s="198">
        <f t="shared" ref="AR39" si="71">+AR35+AR25+AR27-AR32</f>
        <v>-41922</v>
      </c>
      <c r="AS39" s="121"/>
      <c r="AT39" s="229">
        <f t="shared" ref="AT39:AU39" si="72">+AT35+AT25+AT27-AT32</f>
        <v>141643</v>
      </c>
      <c r="AU39" s="229">
        <f t="shared" si="72"/>
        <v>133437</v>
      </c>
      <c r="AV39" s="229">
        <f>+AV35+AV25+AV27-AV32</f>
        <v>135988</v>
      </c>
      <c r="AW39" s="198">
        <f t="shared" ref="AW39" si="73">+AW35+AW25+AW27-AW32</f>
        <v>8791</v>
      </c>
      <c r="AX39" s="121"/>
      <c r="AY39" s="229">
        <f t="shared" ref="AY39:AZ39" si="74">+AY35+AY25+AY27-AY32</f>
        <v>198766</v>
      </c>
      <c r="AZ39" s="229">
        <f t="shared" si="74"/>
        <v>125284</v>
      </c>
      <c r="BA39" s="229">
        <v>113242</v>
      </c>
      <c r="BB39" s="198">
        <f t="shared" ref="BB39" si="75">+BB35+BB25+BB27-BB32</f>
        <v>38565</v>
      </c>
      <c r="BC39" s="121"/>
      <c r="BD39" s="229">
        <v>354065</v>
      </c>
      <c r="BE39" s="229">
        <v>409224</v>
      </c>
      <c r="BF39" s="229">
        <v>166990.40470000001</v>
      </c>
      <c r="BG39" s="198">
        <v>14376.595300000001</v>
      </c>
    </row>
    <row r="40" spans="2:59" s="236" customFormat="1" ht="17.25" hidden="1" customHeight="1">
      <c r="B40" s="237" t="s">
        <v>48</v>
      </c>
      <c r="C40" s="232">
        <v>77.69</v>
      </c>
      <c r="D40" s="232">
        <v>38.22</v>
      </c>
      <c r="E40" s="232">
        <v>16.329999999999998</v>
      </c>
      <c r="F40" s="232">
        <v>-13.14</v>
      </c>
      <c r="G40" s="238"/>
      <c r="H40" s="232">
        <v>32.21</v>
      </c>
      <c r="I40" s="232">
        <v>45.6</v>
      </c>
      <c r="J40" s="232">
        <v>110.6</v>
      </c>
      <c r="K40" s="232">
        <f>-2.28-(3726/3244.51)</f>
        <v>-3.428401453532274</v>
      </c>
      <c r="L40" s="232">
        <v>-188.41</v>
      </c>
      <c r="N40" s="232">
        <v>32.21</v>
      </c>
      <c r="O40" s="232">
        <v>32.21</v>
      </c>
      <c r="P40" s="232">
        <v>32.21</v>
      </c>
      <c r="Q40" s="232"/>
      <c r="R40" s="232">
        <v>32.21</v>
      </c>
      <c r="S40" s="232"/>
      <c r="T40" s="232">
        <v>33.21</v>
      </c>
      <c r="U40" s="232">
        <v>33.21</v>
      </c>
      <c r="W40" s="232">
        <v>32.21</v>
      </c>
      <c r="X40" s="232">
        <v>32.21</v>
      </c>
      <c r="AD40" s="4"/>
      <c r="AE40" s="232">
        <v>32.21</v>
      </c>
      <c r="AI40" s="4"/>
      <c r="AJ40" s="232">
        <v>32.21</v>
      </c>
      <c r="AN40" s="4"/>
      <c r="AO40" s="232">
        <v>32.21</v>
      </c>
      <c r="AT40" s="232">
        <v>32.21</v>
      </c>
      <c r="AY40" s="232">
        <v>32.21</v>
      </c>
      <c r="BD40" s="232"/>
      <c r="BE40" s="232"/>
      <c r="BF40" s="232"/>
    </row>
    <row r="41" spans="2:59" s="2" customFormat="1" ht="13">
      <c r="B41" s="239" t="s">
        <v>6</v>
      </c>
      <c r="C41" s="56">
        <f>+C39/C$10</f>
        <v>0.66930383111939129</v>
      </c>
      <c r="D41" s="56">
        <f>+D39/D$10</f>
        <v>0.33017796650603559</v>
      </c>
      <c r="E41" s="56">
        <f>+E39/E$10</f>
        <v>0.27280142747897018</v>
      </c>
      <c r="F41" s="56">
        <f>+F39/F$10</f>
        <v>-0.46380438182535255</v>
      </c>
      <c r="G41" s="55"/>
      <c r="H41" s="56">
        <f>+H39/H$10</f>
        <v>0.53731663514565886</v>
      </c>
      <c r="I41" s="56">
        <f>+I39/I$10</f>
        <v>0.66573235884442317</v>
      </c>
      <c r="J41" s="56">
        <f>+J39/J$10</f>
        <v>0.47826687162880188</v>
      </c>
      <c r="K41" s="56">
        <f t="shared" ref="K41:L41" si="76">+K39/K$10</f>
        <v>-0.14761117429491652</v>
      </c>
      <c r="L41" s="56">
        <f t="shared" si="76"/>
        <v>6.7190507788632739E-2</v>
      </c>
      <c r="N41" s="56">
        <f t="shared" ref="N41:U41" si="77">+N39/N$10</f>
        <v>0.5703541247005256</v>
      </c>
      <c r="O41" s="56">
        <f t="shared" si="77"/>
        <v>0.80069034628660507</v>
      </c>
      <c r="P41" s="56">
        <f t="shared" si="77"/>
        <v>0.85275602238695203</v>
      </c>
      <c r="Q41" s="56">
        <f t="shared" si="77"/>
        <v>0.85987187050778169</v>
      </c>
      <c r="R41" s="56">
        <f t="shared" si="77"/>
        <v>0.4681321985050953</v>
      </c>
      <c r="S41" s="56">
        <f t="shared" si="77"/>
        <v>0.51989500378997011</v>
      </c>
      <c r="T41" s="56">
        <f t="shared" si="77"/>
        <v>0.34510652934217972</v>
      </c>
      <c r="U41" s="56">
        <f t="shared" si="77"/>
        <v>0.33213156445947195</v>
      </c>
      <c r="W41" s="56">
        <f t="shared" ref="W41:AC41" si="78">+W39/W$10</f>
        <v>0.66733930560924037</v>
      </c>
      <c r="X41" s="56">
        <f t="shared" si="78"/>
        <v>0.6621557308667827</v>
      </c>
      <c r="Y41" s="56">
        <f t="shared" si="78"/>
        <v>0.45080701687915586</v>
      </c>
      <c r="Z41" s="56">
        <f t="shared" si="78"/>
        <v>0.45289595995709692</v>
      </c>
      <c r="AA41" s="56">
        <f t="shared" si="78"/>
        <v>0.55713604134914851</v>
      </c>
      <c r="AB41" s="56">
        <f t="shared" si="78"/>
        <v>0.5570919312896504</v>
      </c>
      <c r="AC41" s="56">
        <f t="shared" si="78"/>
        <v>-0.21041688111168297</v>
      </c>
      <c r="AD41" s="4"/>
      <c r="AE41" s="56">
        <f t="shared" ref="AE41:AH41" si="79">+AE39/AE$10</f>
        <v>0.60346614463380932</v>
      </c>
      <c r="AF41" s="56">
        <f t="shared" si="79"/>
        <v>0.71774365428139364</v>
      </c>
      <c r="AG41" s="56">
        <f t="shared" si="79"/>
        <v>0.90390550132376113</v>
      </c>
      <c r="AH41" s="56">
        <f t="shared" si="79"/>
        <v>0.94052895780193724</v>
      </c>
      <c r="AI41" s="4"/>
      <c r="AJ41" s="56">
        <f t="shared" ref="AJ41:AM41" si="80">+AJ39/AJ$10</f>
        <v>0.6498246457975122</v>
      </c>
      <c r="AK41" s="56">
        <f t="shared" si="80"/>
        <v>0.68915915416891693</v>
      </c>
      <c r="AL41" s="56">
        <f t="shared" si="80"/>
        <v>0.92964971134342334</v>
      </c>
      <c r="AM41" s="56">
        <f t="shared" si="80"/>
        <v>0.59597524055196083</v>
      </c>
      <c r="AN41" s="4"/>
      <c r="AO41" s="56">
        <f t="shared" ref="AO41:AR41" si="81">+AO39/AO$10</f>
        <v>0.66025967540574282</v>
      </c>
      <c r="AP41" s="56">
        <f t="shared" si="81"/>
        <v>-0.25389386144196208</v>
      </c>
      <c r="AQ41" s="56">
        <f t="shared" si="81"/>
        <v>-2.8968713789107763E-4</v>
      </c>
      <c r="AR41" s="56">
        <f t="shared" si="81"/>
        <v>-11.926600284495022</v>
      </c>
      <c r="AS41" s="49"/>
      <c r="AT41" s="56">
        <f t="shared" ref="AT41:AW41" si="82">+AT39/AT$10</f>
        <v>0.74883954533439068</v>
      </c>
      <c r="AU41" s="56">
        <f t="shared" si="82"/>
        <v>0.60796329539552219</v>
      </c>
      <c r="AV41" s="56">
        <f t="shared" si="82"/>
        <v>0.79552594169918278</v>
      </c>
      <c r="AW41" s="56">
        <f t="shared" si="82"/>
        <v>0.12011696066241272</v>
      </c>
      <c r="AX41" s="49"/>
      <c r="AY41" s="56">
        <f t="shared" ref="AY41:AZ41" si="83">+AY39/AY$10</f>
        <v>0.69813249224652363</v>
      </c>
      <c r="AZ41" s="56">
        <f t="shared" si="83"/>
        <v>0.72817520284565129</v>
      </c>
      <c r="BA41" s="56">
        <v>0.68090914557152304</v>
      </c>
      <c r="BB41" s="56">
        <f t="shared" ref="BB41" si="84">+BB39/BB$10</f>
        <v>0.24703259818208606</v>
      </c>
      <c r="BC41" s="49"/>
      <c r="BD41" s="56">
        <v>0.82527439997948848</v>
      </c>
      <c r="BE41" s="56">
        <v>0.73711475764180345</v>
      </c>
      <c r="BF41" s="56">
        <v>0.61897357424032384</v>
      </c>
      <c r="BG41" s="56">
        <v>8.2989934365854084E-2</v>
      </c>
    </row>
    <row r="42" spans="2:59" s="142" customFormat="1" ht="12.5">
      <c r="AD42" s="4"/>
      <c r="AI42" s="4"/>
      <c r="AN42" s="4"/>
    </row>
    <row r="43" spans="2:59" ht="16.5" customHeight="1">
      <c r="B43" s="2" t="s">
        <v>16</v>
      </c>
      <c r="C43" s="121">
        <f>SUM(C44:C48)</f>
        <v>-195038</v>
      </c>
      <c r="D43" s="121">
        <f>SUM(D44:D48)</f>
        <v>187985</v>
      </c>
      <c r="E43" s="121">
        <f>SUM(E44:E48)</f>
        <v>-1712</v>
      </c>
      <c r="F43" s="121">
        <f>SUM(F44:F48)</f>
        <v>-13105</v>
      </c>
      <c r="H43" s="121">
        <f>SUM(H44:H48)</f>
        <v>-32621</v>
      </c>
      <c r="I43" s="121">
        <f>SUM(I44:I48)</f>
        <v>-18479</v>
      </c>
      <c r="J43" s="121">
        <f>SUM(J44:J48)</f>
        <v>-26865</v>
      </c>
      <c r="K43" s="121">
        <f>SUM(K44:K48)</f>
        <v>-29254</v>
      </c>
      <c r="L43" s="121">
        <f>SUM(L44:L48)</f>
        <v>-29254</v>
      </c>
      <c r="N43" s="121">
        <f t="shared" ref="N43:U43" si="85">SUM(N44:N48)</f>
        <v>-16546</v>
      </c>
      <c r="O43" s="121">
        <f t="shared" si="85"/>
        <v>-16546</v>
      </c>
      <c r="P43" s="121">
        <f t="shared" si="85"/>
        <v>-36752</v>
      </c>
      <c r="Q43" s="121">
        <f t="shared" si="85"/>
        <v>-36752</v>
      </c>
      <c r="R43" s="121">
        <f t="shared" si="85"/>
        <v>-45263</v>
      </c>
      <c r="S43" s="121">
        <f t="shared" si="85"/>
        <v>-45263</v>
      </c>
      <c r="T43" s="121">
        <f t="shared" si="85"/>
        <v>-33135</v>
      </c>
      <c r="U43" s="121">
        <f t="shared" si="85"/>
        <v>-36774</v>
      </c>
      <c r="W43" s="121">
        <f t="shared" ref="W43:AC43" si="86">SUM(W44:W48)</f>
        <v>-31999</v>
      </c>
      <c r="X43" s="121">
        <f t="shared" si="86"/>
        <v>-32824</v>
      </c>
      <c r="Y43" s="121">
        <f t="shared" si="86"/>
        <v>-29905</v>
      </c>
      <c r="Z43" s="121">
        <f t="shared" si="86"/>
        <v>-30664</v>
      </c>
      <c r="AA43" s="121">
        <f t="shared" si="86"/>
        <v>-27288</v>
      </c>
      <c r="AB43" s="121">
        <f t="shared" si="86"/>
        <v>-27968</v>
      </c>
      <c r="AC43" s="121">
        <f t="shared" si="86"/>
        <v>-27156</v>
      </c>
      <c r="AD43" s="4"/>
      <c r="AE43" s="121">
        <f t="shared" ref="AE43:AH43" si="87">SUM(AE44:AE48)</f>
        <v>-26447</v>
      </c>
      <c r="AF43" s="121">
        <f t="shared" si="87"/>
        <v>-29085</v>
      </c>
      <c r="AG43" s="121">
        <f t="shared" si="87"/>
        <v>-27827</v>
      </c>
      <c r="AH43" s="121">
        <f t="shared" si="87"/>
        <v>-27691</v>
      </c>
      <c r="AI43" s="4"/>
      <c r="AJ43" s="121">
        <f t="shared" ref="AJ43:AM43" si="88">SUM(AJ44:AJ48)</f>
        <v>-25842</v>
      </c>
      <c r="AK43" s="121">
        <f t="shared" si="88"/>
        <v>-23446</v>
      </c>
      <c r="AL43" s="121">
        <f t="shared" si="88"/>
        <v>-24753</v>
      </c>
      <c r="AM43" s="121">
        <f t="shared" si="88"/>
        <v>-28612</v>
      </c>
      <c r="AN43" s="4"/>
      <c r="AO43" s="121">
        <f t="shared" ref="AO43:AQ43" si="89">SUM(AO44:AO48)</f>
        <v>-24999</v>
      </c>
      <c r="AP43" s="121">
        <f t="shared" si="89"/>
        <v>-38883</v>
      </c>
      <c r="AQ43" s="121">
        <f t="shared" si="89"/>
        <v>-17657</v>
      </c>
      <c r="AR43" s="121">
        <f t="shared" ref="AR43" si="90">SUM(AR44:AR48)</f>
        <v>-21231</v>
      </c>
      <c r="AS43" s="121"/>
      <c r="AT43" s="121">
        <f t="shared" ref="AT43:AW43" si="91">SUM(AT44:AT48)</f>
        <v>-17300</v>
      </c>
      <c r="AU43" s="121">
        <f t="shared" si="91"/>
        <v>-26681</v>
      </c>
      <c r="AV43" s="121">
        <f t="shared" si="91"/>
        <v>-21799</v>
      </c>
      <c r="AW43" s="121">
        <f t="shared" si="91"/>
        <v>-26684</v>
      </c>
      <c r="AX43" s="121"/>
      <c r="AY43" s="121">
        <f t="shared" ref="AY43:AZ43" si="92">SUM(AY44:AY48)</f>
        <v>-22451</v>
      </c>
      <c r="AZ43" s="121">
        <f t="shared" si="92"/>
        <v>-30508</v>
      </c>
      <c r="BA43" s="121">
        <v>-28951</v>
      </c>
      <c r="BB43" s="121">
        <f t="shared" ref="BB43" si="93">SUM(BB44:BB48)</f>
        <v>-23295</v>
      </c>
      <c r="BC43" s="121"/>
      <c r="BD43" s="121">
        <v>397</v>
      </c>
      <c r="BE43" s="121">
        <v>-47811</v>
      </c>
      <c r="BF43" s="121">
        <v>-22105.404699999999</v>
      </c>
      <c r="BG43" s="121">
        <v>-36911.595300000001</v>
      </c>
    </row>
    <row r="44" spans="2:59" ht="16.5" customHeight="1">
      <c r="B44" s="53" t="s">
        <v>15</v>
      </c>
      <c r="C44" s="123">
        <v>-189633</v>
      </c>
      <c r="D44" s="123">
        <v>169794</v>
      </c>
      <c r="E44" s="123">
        <f>17123+1</f>
        <v>17124</v>
      </c>
      <c r="F44" s="123">
        <v>-11163</v>
      </c>
      <c r="H44" s="123">
        <v>-32641</v>
      </c>
      <c r="I44" s="123">
        <f>-18546+1</f>
        <v>-18545</v>
      </c>
      <c r="J44" s="123">
        <f>-26642</f>
        <v>-26642</v>
      </c>
      <c r="K44" s="123">
        <v>-29446</v>
      </c>
      <c r="L44" s="123">
        <v>-29446</v>
      </c>
      <c r="N44" s="123">
        <v>-22738</v>
      </c>
      <c r="O44" s="123">
        <v>-22738</v>
      </c>
      <c r="P44" s="123">
        <v>-36720</v>
      </c>
      <c r="Q44" s="123">
        <v>-36720</v>
      </c>
      <c r="R44" s="123">
        <v>-45240</v>
      </c>
      <c r="S44" s="123">
        <v>-45240</v>
      </c>
      <c r="T44" s="123">
        <v>-33178</v>
      </c>
      <c r="U44" s="123">
        <f>-33178-3643</f>
        <v>-36821</v>
      </c>
      <c r="W44" s="123">
        <v>-31738</v>
      </c>
      <c r="X44" s="123">
        <v>-32563</v>
      </c>
      <c r="Y44" s="122">
        <v>-29574</v>
      </c>
      <c r="Z44" s="122">
        <f>-29574-759</f>
        <v>-30333</v>
      </c>
      <c r="AA44" s="122">
        <v>-31994</v>
      </c>
      <c r="AB44" s="122">
        <f>-31994-680</f>
        <v>-32674</v>
      </c>
      <c r="AC44" s="124">
        <v>-27121</v>
      </c>
      <c r="AD44" s="4"/>
      <c r="AE44" s="123">
        <v>-26333</v>
      </c>
      <c r="AF44" s="122">
        <v>-29011</v>
      </c>
      <c r="AG44" s="122">
        <v>-27117</v>
      </c>
      <c r="AH44" s="122">
        <v>-29029</v>
      </c>
      <c r="AI44" s="4"/>
      <c r="AJ44" s="123">
        <v>-25855</v>
      </c>
      <c r="AK44" s="122">
        <v>-23446</v>
      </c>
      <c r="AL44" s="122">
        <v>-22318</v>
      </c>
      <c r="AM44" s="122">
        <v>-28566</v>
      </c>
      <c r="AN44" s="4"/>
      <c r="AO44" s="123">
        <v>-25602</v>
      </c>
      <c r="AP44" s="124">
        <f>-40505+1966</f>
        <v>-38539</v>
      </c>
      <c r="AQ44" s="122">
        <v>-17687</v>
      </c>
      <c r="AR44" s="122">
        <v>-20850</v>
      </c>
      <c r="AS44" s="124"/>
      <c r="AT44" s="123">
        <v>-17314</v>
      </c>
      <c r="AU44" s="124">
        <v>-26158</v>
      </c>
      <c r="AV44" s="122">
        <v>-22256</v>
      </c>
      <c r="AW44" s="122">
        <v>-25430</v>
      </c>
      <c r="AX44" s="124"/>
      <c r="AY44" s="123">
        <v>-22074</v>
      </c>
      <c r="AZ44" s="124">
        <v>-30546</v>
      </c>
      <c r="BA44" s="124">
        <v>-29161</v>
      </c>
      <c r="BB44" s="122">
        <v>-26892</v>
      </c>
      <c r="BC44" s="124"/>
      <c r="BD44" s="123">
        <v>657</v>
      </c>
      <c r="BE44" s="123">
        <v>-42484</v>
      </c>
      <c r="BF44" s="123">
        <v>-31583.404699999999</v>
      </c>
      <c r="BG44" s="122">
        <v>-9953.5953000000009</v>
      </c>
    </row>
    <row r="45" spans="2:59" ht="16.5" hidden="1" customHeight="1">
      <c r="B45" s="53" t="s">
        <v>17</v>
      </c>
      <c r="C45" s="199">
        <v>0</v>
      </c>
      <c r="D45" s="199">
        <v>0</v>
      </c>
      <c r="E45" s="199">
        <v>0</v>
      </c>
      <c r="F45" s="199"/>
      <c r="H45" s="199">
        <v>0</v>
      </c>
      <c r="I45" s="199">
        <v>0</v>
      </c>
      <c r="J45" s="199">
        <v>0</v>
      </c>
      <c r="K45" s="199">
        <v>0</v>
      </c>
      <c r="L45" s="199">
        <v>0</v>
      </c>
      <c r="N45" s="199">
        <v>0</v>
      </c>
      <c r="O45" s="199">
        <v>0</v>
      </c>
      <c r="P45" s="199">
        <v>0</v>
      </c>
      <c r="Q45" s="199"/>
      <c r="R45" s="199">
        <v>0</v>
      </c>
      <c r="S45" s="199"/>
      <c r="T45" s="199"/>
      <c r="U45" s="199"/>
      <c r="W45" s="199">
        <v>0</v>
      </c>
      <c r="X45" s="199"/>
      <c r="Y45" s="122"/>
      <c r="Z45" s="122"/>
      <c r="AD45" s="4"/>
      <c r="AE45" s="199"/>
      <c r="AF45" s="122">
        <v>0</v>
      </c>
      <c r="AG45" s="122">
        <v>0</v>
      </c>
      <c r="AH45" s="122">
        <v>0</v>
      </c>
      <c r="AI45" s="4"/>
      <c r="AJ45" s="199"/>
      <c r="AK45" s="122"/>
      <c r="AL45" s="122"/>
      <c r="AM45" s="122"/>
      <c r="AN45" s="4"/>
      <c r="AO45" s="199"/>
      <c r="AP45" s="122"/>
      <c r="AQ45" s="122"/>
      <c r="AR45" s="122"/>
      <c r="AS45" s="124"/>
      <c r="AT45" s="199"/>
      <c r="AU45" s="122"/>
      <c r="AV45" s="122"/>
      <c r="AW45" s="122"/>
      <c r="AX45" s="124"/>
      <c r="AY45" s="199"/>
      <c r="AZ45" s="122">
        <v>0</v>
      </c>
      <c r="BA45" s="122"/>
      <c r="BB45" s="122"/>
      <c r="BC45" s="124"/>
      <c r="BD45" s="199">
        <v>0</v>
      </c>
      <c r="BE45" s="199">
        <v>0</v>
      </c>
      <c r="BF45" s="199">
        <v>0</v>
      </c>
      <c r="BG45" s="122">
        <v>0</v>
      </c>
    </row>
    <row r="46" spans="2:59" ht="12.75" customHeight="1">
      <c r="B46" s="53" t="s">
        <v>18</v>
      </c>
      <c r="C46" s="123">
        <v>-5405</v>
      </c>
      <c r="D46" s="4">
        <v>18191</v>
      </c>
      <c r="E46" s="123">
        <v>-18836</v>
      </c>
      <c r="F46" s="123">
        <v>-1942</v>
      </c>
      <c r="H46" s="4">
        <f>21-1</f>
        <v>20</v>
      </c>
      <c r="I46" s="4">
        <v>66</v>
      </c>
      <c r="J46" s="123">
        <v>-223</v>
      </c>
      <c r="K46" s="4">
        <v>192</v>
      </c>
      <c r="L46" s="4">
        <v>192</v>
      </c>
      <c r="N46" s="4">
        <v>6192</v>
      </c>
      <c r="O46" s="4">
        <v>6192</v>
      </c>
      <c r="P46" s="123">
        <v>-32</v>
      </c>
      <c r="Q46" s="123">
        <v>-32</v>
      </c>
      <c r="R46" s="123">
        <v>-23</v>
      </c>
      <c r="S46" s="123">
        <v>-23</v>
      </c>
      <c r="T46" s="123">
        <v>43</v>
      </c>
      <c r="U46" s="4">
        <f>43+4</f>
        <v>47</v>
      </c>
      <c r="W46" s="123">
        <v>-261</v>
      </c>
      <c r="X46" s="123">
        <v>-261</v>
      </c>
      <c r="Y46" s="122">
        <v>-331</v>
      </c>
      <c r="Z46" s="122">
        <v>-331</v>
      </c>
      <c r="AA46" s="122">
        <v>4706</v>
      </c>
      <c r="AB46" s="122">
        <v>4706</v>
      </c>
      <c r="AC46" s="122">
        <v>-35</v>
      </c>
      <c r="AD46" s="4"/>
      <c r="AE46" s="123">
        <v>-114</v>
      </c>
      <c r="AF46" s="122">
        <v>-74</v>
      </c>
      <c r="AG46" s="122">
        <v>-710</v>
      </c>
      <c r="AH46" s="122">
        <v>1338</v>
      </c>
      <c r="AI46" s="4"/>
      <c r="AJ46" s="123">
        <v>13</v>
      </c>
      <c r="AK46" s="122">
        <v>0</v>
      </c>
      <c r="AL46" s="122">
        <v>-2435</v>
      </c>
      <c r="AM46" s="122">
        <v>-46</v>
      </c>
      <c r="AN46" s="4"/>
      <c r="AO46" s="123">
        <v>603</v>
      </c>
      <c r="AP46" s="122">
        <v>-344</v>
      </c>
      <c r="AQ46" s="122">
        <v>30</v>
      </c>
      <c r="AR46" s="122">
        <v>-381</v>
      </c>
      <c r="AS46" s="124"/>
      <c r="AT46" s="123">
        <v>14</v>
      </c>
      <c r="AU46" s="122">
        <v>-523</v>
      </c>
      <c r="AV46" s="122">
        <v>457</v>
      </c>
      <c r="AW46" s="122">
        <v>-1254</v>
      </c>
      <c r="AX46" s="124"/>
      <c r="AY46" s="123">
        <v>-377</v>
      </c>
      <c r="AZ46" s="122">
        <v>38</v>
      </c>
      <c r="BA46" s="122">
        <v>210</v>
      </c>
      <c r="BB46" s="122">
        <v>3597</v>
      </c>
      <c r="BC46" s="124"/>
      <c r="BD46" s="123">
        <v>-260</v>
      </c>
      <c r="BE46" s="123">
        <v>-5327</v>
      </c>
      <c r="BF46" s="123">
        <v>9478</v>
      </c>
      <c r="BG46" s="122">
        <v>-26958</v>
      </c>
    </row>
    <row r="47" spans="2:59" ht="13.5" hidden="1" customHeight="1">
      <c r="B47" s="53" t="s">
        <v>19</v>
      </c>
      <c r="C47" s="4">
        <v>0</v>
      </c>
      <c r="D47" s="4">
        <v>0</v>
      </c>
      <c r="E47" s="4">
        <v>0</v>
      </c>
      <c r="F47" s="4"/>
      <c r="H47" s="4">
        <v>0</v>
      </c>
      <c r="I47" s="4">
        <v>0</v>
      </c>
      <c r="J47" s="4">
        <v>0</v>
      </c>
      <c r="K47" s="4"/>
      <c r="L47" s="4">
        <v>0</v>
      </c>
      <c r="N47" s="4">
        <v>0</v>
      </c>
      <c r="O47" s="4">
        <v>0</v>
      </c>
      <c r="P47" s="4">
        <v>0</v>
      </c>
      <c r="Q47" s="4"/>
      <c r="R47" s="4">
        <v>0</v>
      </c>
      <c r="S47" s="4"/>
      <c r="T47" s="4"/>
      <c r="U47" s="4"/>
      <c r="W47" s="4">
        <v>0</v>
      </c>
      <c r="X47" s="4">
        <v>0</v>
      </c>
      <c r="AD47" s="4"/>
      <c r="AE47" s="4">
        <v>0</v>
      </c>
      <c r="AI47" s="4"/>
      <c r="AJ47" s="4">
        <v>0</v>
      </c>
      <c r="AN47" s="4"/>
      <c r="AO47" s="4">
        <v>0</v>
      </c>
      <c r="AQ47" s="261"/>
      <c r="AT47" s="4">
        <v>0</v>
      </c>
      <c r="AV47"/>
      <c r="AY47" s="4">
        <v>0</v>
      </c>
      <c r="BD47" s="4"/>
      <c r="BE47" s="4"/>
      <c r="BF47" s="4"/>
    </row>
    <row r="48" spans="2:59" ht="5.25" customHeight="1">
      <c r="B48" s="53"/>
      <c r="C48" s="4"/>
      <c r="D48" s="4"/>
      <c r="E48" s="4"/>
      <c r="F48" s="4"/>
      <c r="H48" s="4"/>
      <c r="I48" s="4"/>
      <c r="J48" s="4"/>
      <c r="K48" s="4"/>
      <c r="L48" s="4"/>
      <c r="N48" s="4"/>
      <c r="O48" s="4"/>
      <c r="P48" s="4"/>
      <c r="Q48" s="4"/>
      <c r="R48" s="4"/>
      <c r="S48" s="4"/>
      <c r="T48" s="4"/>
      <c r="U48" s="4"/>
      <c r="W48" s="123"/>
      <c r="X48" s="123"/>
      <c r="AD48" s="4"/>
      <c r="AE48" s="123"/>
      <c r="AI48" s="4"/>
      <c r="AJ48" s="123"/>
      <c r="AN48" s="4"/>
      <c r="AO48" s="123"/>
      <c r="AQ48" s="261"/>
      <c r="AT48" s="123"/>
      <c r="AV48"/>
      <c r="AY48" s="123"/>
      <c r="BD48" s="123"/>
      <c r="BE48" s="123"/>
      <c r="BF48" s="123"/>
    </row>
    <row r="49" spans="2:59" ht="5.25" customHeight="1">
      <c r="C49" s="199"/>
      <c r="D49" s="199"/>
      <c r="E49" s="199"/>
      <c r="F49" s="199"/>
      <c r="H49" s="199"/>
      <c r="I49" s="199"/>
      <c r="J49" s="199"/>
      <c r="K49" s="199"/>
      <c r="L49" s="199"/>
      <c r="N49" s="199"/>
      <c r="O49" s="199"/>
      <c r="P49" s="199"/>
      <c r="Q49" s="199"/>
      <c r="R49" s="199"/>
      <c r="S49" s="199"/>
      <c r="T49" s="199"/>
      <c r="U49" s="199"/>
      <c r="W49" s="199"/>
      <c r="X49" s="199"/>
      <c r="AD49" s="4"/>
      <c r="AE49" s="199"/>
      <c r="AI49" s="4"/>
      <c r="AJ49" s="199"/>
      <c r="AN49" s="4"/>
      <c r="AO49" s="199"/>
      <c r="AQ49" s="261"/>
      <c r="AT49" s="199"/>
      <c r="AV49"/>
      <c r="AY49" s="199"/>
      <c r="BD49" s="199"/>
      <c r="BE49" s="199"/>
      <c r="BF49" s="199"/>
    </row>
    <row r="50" spans="2:59" ht="16.5" customHeight="1">
      <c r="B50" s="2" t="s">
        <v>7</v>
      </c>
      <c r="C50" s="121">
        <f>+C35+C43</f>
        <v>-37712</v>
      </c>
      <c r="D50" s="6">
        <f>+D35+D43</f>
        <v>257159</v>
      </c>
      <c r="E50" s="6">
        <f>+E35+E43</f>
        <v>30299</v>
      </c>
      <c r="F50" s="121">
        <f>+F35+F43</f>
        <v>-49517</v>
      </c>
      <c r="H50" s="6">
        <f>+H35+H43</f>
        <v>44431</v>
      </c>
      <c r="I50" s="6">
        <f>+I35+I43</f>
        <v>94161</v>
      </c>
      <c r="J50" s="6">
        <f>+J35+J43</f>
        <v>304933</v>
      </c>
      <c r="K50" s="121">
        <f>+K35+K43</f>
        <v>-45438</v>
      </c>
      <c r="L50" s="121">
        <f>+L35+L43</f>
        <v>-19463</v>
      </c>
      <c r="N50" s="6">
        <f t="shared" ref="N50:U50" si="94">+N35+N43</f>
        <v>88250</v>
      </c>
      <c r="O50" s="6">
        <f t="shared" si="94"/>
        <v>102050</v>
      </c>
      <c r="P50" s="6">
        <f t="shared" si="94"/>
        <v>60049</v>
      </c>
      <c r="Q50" s="6">
        <f t="shared" si="94"/>
        <v>65865</v>
      </c>
      <c r="R50" s="6">
        <f t="shared" si="94"/>
        <v>44184</v>
      </c>
      <c r="S50" s="6">
        <f t="shared" si="94"/>
        <v>64990</v>
      </c>
      <c r="T50" s="6">
        <f t="shared" si="94"/>
        <v>180776</v>
      </c>
      <c r="U50" s="6">
        <f t="shared" si="94"/>
        <v>166840</v>
      </c>
      <c r="W50" s="6">
        <f t="shared" ref="W50:AC50" si="95">+W35+W43</f>
        <v>88063</v>
      </c>
      <c r="X50" s="6">
        <f t="shared" si="95"/>
        <v>88079</v>
      </c>
      <c r="Y50" s="6">
        <f t="shared" si="95"/>
        <v>64684</v>
      </c>
      <c r="Z50" s="6">
        <f t="shared" si="95"/>
        <v>64991</v>
      </c>
      <c r="AA50" s="6">
        <f t="shared" si="95"/>
        <v>376929</v>
      </c>
      <c r="AB50" s="6">
        <f t="shared" si="95"/>
        <v>376376</v>
      </c>
      <c r="AC50" s="121">
        <f t="shared" si="95"/>
        <v>-38310</v>
      </c>
      <c r="AD50" s="4"/>
      <c r="AE50" s="6">
        <f t="shared" ref="AE50:AH50" si="96">+AE35+AE43</f>
        <v>486234</v>
      </c>
      <c r="AF50" s="6">
        <f t="shared" si="96"/>
        <v>40745</v>
      </c>
      <c r="AG50" s="6">
        <f t="shared" si="96"/>
        <v>193887</v>
      </c>
      <c r="AH50" s="121">
        <f t="shared" si="96"/>
        <v>125809</v>
      </c>
      <c r="AI50" s="4"/>
      <c r="AJ50" s="6">
        <f t="shared" ref="AJ50:AM50" si="97">+AJ35+AJ43</f>
        <v>169997</v>
      </c>
      <c r="AK50" s="6">
        <f t="shared" si="97"/>
        <v>38936</v>
      </c>
      <c r="AL50" s="6">
        <f t="shared" si="97"/>
        <v>209573</v>
      </c>
      <c r="AM50" s="121">
        <f t="shared" si="97"/>
        <v>77494</v>
      </c>
      <c r="AN50" s="4"/>
      <c r="AO50" s="6">
        <f t="shared" ref="AO50:AR50" si="98">+AO35+AO43</f>
        <v>103458</v>
      </c>
      <c r="AP50" s="6">
        <f t="shared" si="98"/>
        <v>-50440</v>
      </c>
      <c r="AQ50" s="6">
        <f t="shared" si="98"/>
        <v>-23375</v>
      </c>
      <c r="AR50" s="121">
        <f t="shared" si="98"/>
        <v>-67708</v>
      </c>
      <c r="AS50" s="121"/>
      <c r="AT50" s="6">
        <f t="shared" ref="AT50:AW50" si="99">+AT35+AT43</f>
        <v>119943</v>
      </c>
      <c r="AU50" s="6">
        <f t="shared" si="99"/>
        <v>102392</v>
      </c>
      <c r="AV50" s="6">
        <f t="shared" si="99"/>
        <v>109839</v>
      </c>
      <c r="AW50" s="121">
        <f t="shared" si="99"/>
        <v>-22265</v>
      </c>
      <c r="AX50" s="121"/>
      <c r="AY50" s="6">
        <f t="shared" ref="AY50:AZ50" si="100">+AY35+AY43</f>
        <v>171903</v>
      </c>
      <c r="AZ50" s="6">
        <f t="shared" si="100"/>
        <v>90350</v>
      </c>
      <c r="BA50" s="6">
        <v>79870</v>
      </c>
      <c r="BB50" s="121">
        <f t="shared" ref="BB50" si="101">+BB35+BB43</f>
        <v>14671</v>
      </c>
      <c r="BC50" s="121"/>
      <c r="BD50" s="6">
        <v>353856</v>
      </c>
      <c r="BE50" s="6">
        <v>360830</v>
      </c>
      <c r="BF50" s="6">
        <v>144199</v>
      </c>
      <c r="BG50" s="121">
        <v>-23091</v>
      </c>
    </row>
    <row r="51" spans="2:59" s="135" customFormat="1" ht="5.25" hidden="1" customHeight="1">
      <c r="B51" s="1"/>
      <c r="L51" s="135">
        <v>0</v>
      </c>
      <c r="AD51" s="4"/>
      <c r="AI51" s="4"/>
      <c r="AN51" s="4"/>
    </row>
    <row r="52" spans="2:59" s="135" customFormat="1" ht="5.25" customHeight="1">
      <c r="B52" s="1"/>
      <c r="AD52" s="4"/>
      <c r="AI52" s="4"/>
      <c r="AN52" s="4"/>
    </row>
    <row r="53" spans="2:59" ht="15.75" customHeight="1">
      <c r="B53" s="240" t="s">
        <v>147</v>
      </c>
      <c r="C53" s="123">
        <v>-16337</v>
      </c>
      <c r="D53" s="123">
        <v>-4897</v>
      </c>
      <c r="E53" s="123">
        <v>7198</v>
      </c>
      <c r="F53" s="123">
        <v>13223</v>
      </c>
      <c r="H53" s="123">
        <v>9792</v>
      </c>
      <c r="I53" s="123">
        <v>-10606</v>
      </c>
      <c r="J53" s="123">
        <v>-5741</v>
      </c>
      <c r="K53" s="123">
        <v>32841</v>
      </c>
      <c r="L53" s="123">
        <v>35155</v>
      </c>
      <c r="N53" s="123">
        <v>-2546</v>
      </c>
      <c r="O53" s="123">
        <v>-2546</v>
      </c>
      <c r="P53" s="123">
        <v>14733</v>
      </c>
      <c r="Q53" s="123">
        <v>14733</v>
      </c>
      <c r="R53" s="123">
        <v>17439</v>
      </c>
      <c r="S53" s="123">
        <v>17439</v>
      </c>
      <c r="T53" s="123">
        <v>-8187</v>
      </c>
      <c r="U53" s="123">
        <f>-8187+6550</f>
        <v>-1637</v>
      </c>
      <c r="W53" s="123">
        <v>1092</v>
      </c>
      <c r="X53" s="123">
        <v>1108</v>
      </c>
      <c r="Y53" s="122">
        <v>3266</v>
      </c>
      <c r="Z53" s="122">
        <f>3266+307</f>
        <v>3573</v>
      </c>
      <c r="AA53" s="122">
        <v>43776</v>
      </c>
      <c r="AB53" s="122">
        <f>43776-553</f>
        <v>43223</v>
      </c>
      <c r="AC53" s="122">
        <v>-9609</v>
      </c>
      <c r="AD53" s="4"/>
      <c r="AE53" s="123">
        <v>5846</v>
      </c>
      <c r="AF53" s="122">
        <v>797</v>
      </c>
      <c r="AG53" s="122">
        <v>3371</v>
      </c>
      <c r="AH53" s="122">
        <v>24985</v>
      </c>
      <c r="AI53" s="4"/>
      <c r="AJ53" s="123">
        <v>-2191</v>
      </c>
      <c r="AK53" s="122">
        <v>5407</v>
      </c>
      <c r="AL53" s="122">
        <v>10472</v>
      </c>
      <c r="AM53" s="122">
        <v>-427</v>
      </c>
      <c r="AN53" s="4"/>
      <c r="AO53" s="123">
        <v>4062</v>
      </c>
      <c r="AP53" s="122">
        <v>5388</v>
      </c>
      <c r="AQ53" s="122">
        <v>5330</v>
      </c>
      <c r="AR53" s="122">
        <f>8590-2312</f>
        <v>6278</v>
      </c>
      <c r="AS53" s="124"/>
      <c r="AT53" s="123">
        <v>1761</v>
      </c>
      <c r="AU53" s="122">
        <v>-12485</v>
      </c>
      <c r="AV53" s="122">
        <v>-2423</v>
      </c>
      <c r="AW53" s="122">
        <v>-13149</v>
      </c>
      <c r="AX53" s="124"/>
      <c r="AY53" s="123">
        <v>777</v>
      </c>
      <c r="AZ53" s="122">
        <v>7333</v>
      </c>
      <c r="BA53" s="122">
        <v>-2769</v>
      </c>
      <c r="BB53" s="122">
        <v>5664</v>
      </c>
      <c r="BC53" s="124"/>
      <c r="BD53" s="123">
        <v>7574</v>
      </c>
      <c r="BE53" s="123">
        <v>3562</v>
      </c>
      <c r="BF53" s="123">
        <v>25710</v>
      </c>
      <c r="BG53" s="122">
        <v>9607</v>
      </c>
    </row>
    <row r="54" spans="2:59" ht="5.25" customHeight="1">
      <c r="C54" s="199"/>
      <c r="D54" s="199"/>
      <c r="E54" s="199"/>
      <c r="F54" s="199"/>
      <c r="H54" s="199"/>
      <c r="I54" s="199"/>
      <c r="J54" s="199"/>
      <c r="K54" s="199"/>
      <c r="L54" s="199"/>
      <c r="N54" s="199"/>
      <c r="O54" s="199"/>
      <c r="P54" s="199"/>
      <c r="Q54" s="199"/>
      <c r="R54" s="199"/>
      <c r="S54" s="199"/>
      <c r="T54" s="199"/>
      <c r="U54" s="199"/>
      <c r="W54" s="199"/>
      <c r="X54" s="199"/>
      <c r="AD54" s="4"/>
      <c r="AE54" s="199"/>
      <c r="AI54" s="4"/>
      <c r="AJ54" s="199"/>
      <c r="AN54" s="4"/>
      <c r="AO54" s="199"/>
      <c r="AQ54" s="261"/>
      <c r="AT54" s="199"/>
      <c r="AV54"/>
      <c r="AY54" s="199"/>
      <c r="BD54" s="199"/>
      <c r="BE54" s="199"/>
      <c r="BF54" s="199"/>
    </row>
    <row r="55" spans="2:59" s="2" customFormat="1" ht="16.5" customHeight="1">
      <c r="B55" s="241" t="s">
        <v>44</v>
      </c>
      <c r="C55" s="198">
        <f>+C50-C53</f>
        <v>-21375</v>
      </c>
      <c r="D55" s="229">
        <f>+D50-D53</f>
        <v>262056</v>
      </c>
      <c r="E55" s="229">
        <f>+E50-E53</f>
        <v>23101</v>
      </c>
      <c r="F55" s="121">
        <f>+F50-F53</f>
        <v>-62740</v>
      </c>
      <c r="G55" s="55"/>
      <c r="H55" s="229">
        <f>+H50-H53</f>
        <v>34639</v>
      </c>
      <c r="I55" s="229">
        <f>+I50-I53</f>
        <v>104767</v>
      </c>
      <c r="J55" s="229">
        <f>+J50-J53</f>
        <v>310674</v>
      </c>
      <c r="K55" s="229">
        <f>+K50-K53</f>
        <v>-78279</v>
      </c>
      <c r="L55" s="229">
        <f>+L50-L53</f>
        <v>-54618</v>
      </c>
      <c r="N55" s="229">
        <f t="shared" ref="N55:U55" si="102">+N50-N53</f>
        <v>90796</v>
      </c>
      <c r="O55" s="229">
        <f t="shared" si="102"/>
        <v>104596</v>
      </c>
      <c r="P55" s="229">
        <f t="shared" si="102"/>
        <v>45316</v>
      </c>
      <c r="Q55" s="229">
        <f t="shared" si="102"/>
        <v>51132</v>
      </c>
      <c r="R55" s="229">
        <f t="shared" si="102"/>
        <v>26745</v>
      </c>
      <c r="S55" s="229">
        <f t="shared" si="102"/>
        <v>47551</v>
      </c>
      <c r="T55" s="229">
        <f t="shared" si="102"/>
        <v>188963</v>
      </c>
      <c r="U55" s="229">
        <f t="shared" si="102"/>
        <v>168477</v>
      </c>
      <c r="W55" s="229">
        <f t="shared" ref="W55:AC55" si="103">+W50-W53</f>
        <v>86971</v>
      </c>
      <c r="X55" s="229">
        <f t="shared" si="103"/>
        <v>86971</v>
      </c>
      <c r="Y55" s="229">
        <f t="shared" si="103"/>
        <v>61418</v>
      </c>
      <c r="Z55" s="229">
        <f t="shared" si="103"/>
        <v>61418</v>
      </c>
      <c r="AA55" s="229">
        <f t="shared" si="103"/>
        <v>333153</v>
      </c>
      <c r="AB55" s="229">
        <f t="shared" si="103"/>
        <v>333153</v>
      </c>
      <c r="AC55" s="198">
        <f t="shared" si="103"/>
        <v>-28701</v>
      </c>
      <c r="AD55" s="4"/>
      <c r="AE55" s="229">
        <f t="shared" ref="AE55:AH55" si="104">+AE50-AE53</f>
        <v>480388</v>
      </c>
      <c r="AF55" s="229">
        <f t="shared" si="104"/>
        <v>39948</v>
      </c>
      <c r="AG55" s="229">
        <f t="shared" si="104"/>
        <v>190516</v>
      </c>
      <c r="AH55" s="198">
        <f t="shared" si="104"/>
        <v>100824</v>
      </c>
      <c r="AI55" s="4"/>
      <c r="AJ55" s="229">
        <f t="shared" ref="AJ55:AM55" si="105">+AJ50-AJ53</f>
        <v>172188</v>
      </c>
      <c r="AK55" s="229">
        <f t="shared" si="105"/>
        <v>33529</v>
      </c>
      <c r="AL55" s="229">
        <f t="shared" si="105"/>
        <v>199101</v>
      </c>
      <c r="AM55" s="198">
        <f t="shared" si="105"/>
        <v>77921</v>
      </c>
      <c r="AN55" s="4"/>
      <c r="AO55" s="229">
        <f t="shared" ref="AO55:AR55" si="106">+AO50-AO53</f>
        <v>99396</v>
      </c>
      <c r="AP55" s="229">
        <f t="shared" si="106"/>
        <v>-55828</v>
      </c>
      <c r="AQ55" s="229">
        <f t="shared" si="106"/>
        <v>-28705</v>
      </c>
      <c r="AR55" s="198">
        <f t="shared" si="106"/>
        <v>-73986</v>
      </c>
      <c r="AS55" s="121"/>
      <c r="AT55" s="229">
        <f t="shared" ref="AT55:AW55" si="107">+AT50-AT53</f>
        <v>118182</v>
      </c>
      <c r="AU55" s="229">
        <f t="shared" si="107"/>
        <v>114877</v>
      </c>
      <c r="AV55" s="229">
        <f t="shared" si="107"/>
        <v>112262</v>
      </c>
      <c r="AW55" s="198">
        <f t="shared" si="107"/>
        <v>-9116</v>
      </c>
      <c r="AX55" s="121"/>
      <c r="AY55" s="229">
        <f t="shared" ref="AY55:AZ55" si="108">+AY50-AY53</f>
        <v>171126</v>
      </c>
      <c r="AZ55" s="229">
        <f t="shared" si="108"/>
        <v>83017</v>
      </c>
      <c r="BA55" s="229">
        <v>82639</v>
      </c>
      <c r="BB55" s="198">
        <f t="shared" ref="BB55" si="109">+BB50-BB53</f>
        <v>9007</v>
      </c>
      <c r="BC55" s="121"/>
      <c r="BD55" s="229">
        <v>346282</v>
      </c>
      <c r="BE55" s="229">
        <v>357268</v>
      </c>
      <c r="BF55" s="229">
        <v>118489</v>
      </c>
      <c r="BG55" s="198">
        <v>-32698</v>
      </c>
    </row>
    <row r="56" spans="2:59" s="236" customFormat="1" ht="17.25" hidden="1" customHeight="1">
      <c r="B56" s="242" t="s">
        <v>48</v>
      </c>
      <c r="C56" s="232">
        <v>-10.53</v>
      </c>
      <c r="D56" s="232">
        <v>137.87</v>
      </c>
      <c r="E56" s="232">
        <v>11.78</v>
      </c>
      <c r="F56" s="232">
        <v>-25.75</v>
      </c>
      <c r="G56" s="238"/>
      <c r="H56" s="232">
        <v>10.75</v>
      </c>
      <c r="I56" s="232">
        <v>41.98</v>
      </c>
      <c r="J56" s="232">
        <v>102.97</v>
      </c>
      <c r="K56" s="232">
        <f>-22.4-(3726/3244.51)</f>
        <v>-23.548401453532271</v>
      </c>
      <c r="L56" s="232">
        <v>-155.69999999999999</v>
      </c>
      <c r="N56" s="232">
        <v>10.75</v>
      </c>
      <c r="O56" s="232">
        <v>10.75</v>
      </c>
      <c r="P56" s="232">
        <v>10.75</v>
      </c>
      <c r="Q56" s="232"/>
      <c r="R56" s="232">
        <v>10.75</v>
      </c>
      <c r="S56" s="232"/>
      <c r="T56" s="232">
        <v>11.75</v>
      </c>
      <c r="U56" s="232">
        <v>11.75</v>
      </c>
      <c r="W56" s="232">
        <v>10.75</v>
      </c>
      <c r="X56" s="232">
        <v>10.75</v>
      </c>
      <c r="AE56" s="232">
        <v>10.75</v>
      </c>
      <c r="AJ56" s="232">
        <v>10.75</v>
      </c>
      <c r="AO56" s="232">
        <v>10.75</v>
      </c>
      <c r="AT56" s="232">
        <v>10.75</v>
      </c>
      <c r="AY56" s="232">
        <v>10.75</v>
      </c>
      <c r="BD56" s="232">
        <v>10.75</v>
      </c>
      <c r="BE56" s="232"/>
      <c r="BF56" s="232"/>
    </row>
    <row r="57" spans="2:59" ht="16.5" customHeight="1">
      <c r="B57" s="243" t="s">
        <v>46</v>
      </c>
      <c r="C57" s="56">
        <f>+C55/C10</f>
        <v>-9.0918371253206065E-2</v>
      </c>
      <c r="D57" s="56">
        <f>+D55/D10</f>
        <v>1.2503268285700653</v>
      </c>
      <c r="E57" s="56">
        <f>+E55/E10</f>
        <v>0.19628685529781631</v>
      </c>
      <c r="F57" s="56">
        <f>+F55/F10</f>
        <v>-0.85324556989569023</v>
      </c>
      <c r="G57" s="230"/>
      <c r="H57" s="56">
        <f>+H55/H10</f>
        <v>0.27525786303459893</v>
      </c>
      <c r="I57" s="56">
        <f>+I55/I10</f>
        <v>0.61305612283709687</v>
      </c>
      <c r="J57" s="56">
        <f>+J55/J10</f>
        <v>0.44674747236534262</v>
      </c>
      <c r="K57" s="56">
        <f t="shared" ref="K57:L57" si="110">+K55/K10</f>
        <v>-0.74812917530798118</v>
      </c>
      <c r="L57" s="56">
        <f t="shared" si="110"/>
        <v>-0.35883554848924831</v>
      </c>
      <c r="N57" s="56">
        <f t="shared" ref="N57:U57" si="111">+N55/N10</f>
        <v>0.54111589210579636</v>
      </c>
      <c r="O57" s="56">
        <f t="shared" si="111"/>
        <v>0.64702025263209983</v>
      </c>
      <c r="P57" s="56">
        <f t="shared" si="111"/>
        <v>0.39566580227187398</v>
      </c>
      <c r="Q57" s="56">
        <f t="shared" si="111"/>
        <v>0.42487141349597413</v>
      </c>
      <c r="R57" s="56">
        <f t="shared" si="111"/>
        <v>0.13863115663325074</v>
      </c>
      <c r="S57" s="56">
        <f t="shared" si="111"/>
        <v>0.22248996359757067</v>
      </c>
      <c r="T57" s="56">
        <f t="shared" si="111"/>
        <v>0.30371309725865347</v>
      </c>
      <c r="U57" s="56">
        <f t="shared" si="111"/>
        <v>0.2736086683264069</v>
      </c>
      <c r="W57" s="56">
        <f t="shared" ref="W57:AC57" si="112">+W55/W10</f>
        <v>0.49436688570064347</v>
      </c>
      <c r="X57" s="56">
        <f t="shared" si="112"/>
        <v>0.48695150697356709</v>
      </c>
      <c r="Y57" s="56">
        <f t="shared" si="112"/>
        <v>0.29087654157273574</v>
      </c>
      <c r="Z57" s="56">
        <f t="shared" si="112"/>
        <v>0.2889279867527238</v>
      </c>
      <c r="AA57" s="56">
        <f t="shared" si="112"/>
        <v>0.44152541249751509</v>
      </c>
      <c r="AB57" s="56">
        <f t="shared" si="112"/>
        <v>0.44133298184212305</v>
      </c>
      <c r="AC57" s="56">
        <f t="shared" si="112"/>
        <v>-0.5908594956253217</v>
      </c>
      <c r="AE57" s="56">
        <f t="shared" ref="AE57:AH57" si="113">+AE55/AE10</f>
        <v>0.56447701144022788</v>
      </c>
      <c r="AF57" s="56">
        <f t="shared" si="113"/>
        <v>0.40543585267580762</v>
      </c>
      <c r="AG57" s="56">
        <f t="shared" si="113"/>
        <v>0.77361248720905684</v>
      </c>
      <c r="AH57" s="56">
        <f t="shared" si="113"/>
        <v>0.54834095643141112</v>
      </c>
      <c r="AJ57" s="56">
        <f t="shared" ref="AJ57:AM57" si="114">+AJ55/AJ10</f>
        <v>0.5596643080253394</v>
      </c>
      <c r="AK57" s="56">
        <f t="shared" si="114"/>
        <v>0.34823023555315524</v>
      </c>
      <c r="AL57" s="56">
        <f t="shared" si="114"/>
        <v>0.77664612264003741</v>
      </c>
      <c r="AM57" s="56">
        <f t="shared" si="114"/>
        <v>0.42050587416285756</v>
      </c>
      <c r="AO57" s="56">
        <f t="shared" ref="AO57:AR57" si="115">+AO55/AO10</f>
        <v>0.49635955056179776</v>
      </c>
      <c r="AP57" s="56">
        <f t="shared" si="115"/>
        <v>-1.9672986116005355</v>
      </c>
      <c r="AQ57" s="56">
        <f t="shared" si="115"/>
        <v>-1.1879241847376263</v>
      </c>
      <c r="AR57" s="56">
        <f t="shared" si="115"/>
        <v>-21.048648648648648</v>
      </c>
      <c r="AS57" s="49"/>
      <c r="AT57" s="56">
        <f t="shared" ref="AT57:AW57" si="116">+AT55/AT10</f>
        <v>0.62480570975416339</v>
      </c>
      <c r="AU57" s="56">
        <f t="shared" si="116"/>
        <v>0.52340055220929282</v>
      </c>
      <c r="AV57" s="56">
        <f t="shared" si="116"/>
        <v>0.65672951486185294</v>
      </c>
      <c r="AW57" s="56">
        <f t="shared" si="116"/>
        <v>-0.12455764001803599</v>
      </c>
      <c r="AX57" s="49"/>
      <c r="AY57" s="56">
        <f t="shared" ref="AY57:AZ57" si="117">+AY55/AY10</f>
        <v>0.60105159266765251</v>
      </c>
      <c r="AZ57" s="56">
        <f t="shared" si="117"/>
        <v>0.48251110129495733</v>
      </c>
      <c r="BA57" s="56">
        <v>0.49689736035115145</v>
      </c>
      <c r="BB57" s="56">
        <f t="shared" ref="BB57" si="118">+BB55/BB10</f>
        <v>5.7695387315598319E-2</v>
      </c>
      <c r="BC57" s="49"/>
      <c r="BD57" s="56">
        <v>0.80713335058166502</v>
      </c>
      <c r="BE57" s="56">
        <v>0.64352900913233779</v>
      </c>
      <c r="BF57" s="56">
        <v>0.4391962518440542</v>
      </c>
      <c r="BG57" s="56">
        <v>-0.18875156581020938</v>
      </c>
    </row>
    <row r="58" spans="2:59" ht="9" customHeight="1">
      <c r="AR58" s="249"/>
    </row>
    <row r="59" spans="2:59" ht="16.5" hidden="1" customHeight="1">
      <c r="B59" s="387" t="s">
        <v>90</v>
      </c>
      <c r="C59" s="387"/>
      <c r="D59" s="387"/>
      <c r="E59" s="248"/>
      <c r="F59" s="248"/>
      <c r="AR59" s="249"/>
    </row>
    <row r="60" spans="2:59" ht="3.75" hidden="1" customHeight="1">
      <c r="B60" s="386"/>
      <c r="C60" s="386"/>
      <c r="D60" s="386"/>
      <c r="E60" s="138"/>
      <c r="F60" s="138"/>
      <c r="AR60" s="249"/>
    </row>
    <row r="61" spans="2:59" ht="14.5" hidden="1">
      <c r="B61" s="386" t="s">
        <v>91</v>
      </c>
      <c r="C61" s="386"/>
      <c r="D61" s="386"/>
      <c r="E61" s="138"/>
      <c r="F61" s="138"/>
      <c r="AR61" s="249"/>
    </row>
    <row r="62" spans="2:59" ht="16.5" hidden="1" customHeight="1" thickBot="1">
      <c r="AR62" s="249"/>
    </row>
    <row r="63" spans="2:59" ht="28.5" hidden="1" customHeight="1" thickTop="1" thickBot="1">
      <c r="C63" s="151" t="s">
        <v>92</v>
      </c>
      <c r="D63" s="151" t="s">
        <v>93</v>
      </c>
      <c r="E63" s="151"/>
      <c r="F63" s="151"/>
      <c r="AR63" s="249"/>
    </row>
    <row r="64" spans="2:59" ht="16.5" hidden="1" customHeight="1" thickTop="1">
      <c r="AR64" s="249"/>
    </row>
    <row r="65" spans="2:44" ht="16.5" hidden="1" customHeight="1">
      <c r="AR65" s="249"/>
    </row>
    <row r="66" spans="2:44" ht="26.25" hidden="1" customHeight="1">
      <c r="B66" s="244" t="s">
        <v>94</v>
      </c>
      <c r="C66" s="6">
        <f>SUM(C67:C69)</f>
        <v>-200607</v>
      </c>
      <c r="D66" s="6">
        <f>SUM(D67:D69)</f>
        <v>0</v>
      </c>
      <c r="E66" s="6"/>
      <c r="F66" s="6"/>
      <c r="AR66" s="249"/>
    </row>
    <row r="67" spans="2:44" ht="25" hidden="1">
      <c r="B67" s="8" t="s">
        <v>95</v>
      </c>
      <c r="C67" s="4">
        <v>-572</v>
      </c>
      <c r="D67" s="199">
        <v>0</v>
      </c>
      <c r="E67" s="199"/>
      <c r="F67" s="199"/>
      <c r="AR67" s="249"/>
    </row>
    <row r="68" spans="2:44" ht="14.5" hidden="1">
      <c r="B68" s="8" t="s">
        <v>96</v>
      </c>
      <c r="C68" s="4">
        <v>-200035</v>
      </c>
      <c r="D68" s="199">
        <v>0</v>
      </c>
      <c r="E68" s="199"/>
      <c r="F68" s="199"/>
      <c r="AR68" s="249"/>
    </row>
    <row r="69" spans="2:44" ht="16.5" hidden="1" customHeight="1">
      <c r="B69" s="8"/>
      <c r="C69" s="199"/>
      <c r="D69" s="199"/>
      <c r="E69" s="199"/>
      <c r="F69" s="199"/>
      <c r="AR69" s="249"/>
    </row>
    <row r="70" spans="2:44" ht="6" hidden="1" customHeight="1">
      <c r="AR70" s="249"/>
    </row>
    <row r="71" spans="2:44" ht="16.5" hidden="1" customHeight="1">
      <c r="B71" s="2" t="s">
        <v>97</v>
      </c>
      <c r="C71" s="6">
        <f>+C55+C66</f>
        <v>-221982</v>
      </c>
      <c r="D71" s="6">
        <f>+D55+D66</f>
        <v>262056</v>
      </c>
      <c r="E71" s="6"/>
      <c r="F71" s="6"/>
      <c r="AR71" s="249"/>
    </row>
    <row r="72" spans="2:44" ht="16.5" customHeight="1">
      <c r="B72" s="2"/>
      <c r="C72" s="6"/>
      <c r="D72" s="6"/>
      <c r="E72" s="6"/>
      <c r="F72" s="6"/>
      <c r="U72" s="4"/>
      <c r="AR72" s="249"/>
    </row>
    <row r="73" spans="2:44" ht="16.5" hidden="1" customHeight="1">
      <c r="C73" s="3"/>
      <c r="D73" s="3">
        <v>1111</v>
      </c>
      <c r="E73" s="3"/>
      <c r="F73" s="3"/>
      <c r="AR73" s="249"/>
    </row>
    <row r="74" spans="2:44" ht="16.5" hidden="1" customHeight="1">
      <c r="C74" s="3"/>
      <c r="D74" s="3">
        <f>+D55-D73</f>
        <v>260945</v>
      </c>
      <c r="E74" s="3"/>
      <c r="F74" s="3"/>
      <c r="AR74" s="249"/>
    </row>
    <row r="75" spans="2:44" ht="16.5" customHeight="1">
      <c r="C75" s="4"/>
      <c r="D75" s="4"/>
      <c r="E75" s="4"/>
      <c r="F75" s="4"/>
      <c r="AR75" s="249"/>
    </row>
    <row r="76" spans="2:44" ht="16.5" customHeight="1">
      <c r="C76" s="4"/>
    </row>
    <row r="77" spans="2:44" ht="16.5" customHeight="1">
      <c r="C77" s="4"/>
    </row>
  </sheetData>
  <mergeCells count="13">
    <mergeCell ref="BD6:BG6"/>
    <mergeCell ref="AY6:BB6"/>
    <mergeCell ref="AT6:AW6"/>
    <mergeCell ref="B61:D61"/>
    <mergeCell ref="W6:AC6"/>
    <mergeCell ref="AE6:AH6"/>
    <mergeCell ref="AJ6:AM6"/>
    <mergeCell ref="AO6:AR6"/>
    <mergeCell ref="B59:D59"/>
    <mergeCell ref="B60:D60"/>
    <mergeCell ref="N6:U6"/>
    <mergeCell ref="C6:F6"/>
    <mergeCell ref="H6:L6"/>
  </mergeCells>
  <pageMargins left="0.7" right="0.7" top="0.75" bottom="0.75" header="0.3" footer="0.3"/>
  <pageSetup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tabColor rgb="FF002060"/>
  </sheetPr>
  <dimension ref="B2:Q101"/>
  <sheetViews>
    <sheetView showGridLines="0" zoomScaleNormal="100" workbookViewId="0">
      <selection activeCell="F14" sqref="F14"/>
    </sheetView>
  </sheetViews>
  <sheetFormatPr baseColWidth="10" defaultColWidth="11.36328125" defaultRowHeight="14.5"/>
  <cols>
    <col min="1" max="1" width="11.36328125" style="156"/>
    <col min="2" max="2" width="24.81640625" style="156" bestFit="1" customWidth="1"/>
    <col min="3" max="3" width="18.81640625" style="156" bestFit="1" customWidth="1"/>
    <col min="4" max="4" width="7.36328125" style="156" customWidth="1"/>
    <col min="5" max="5" width="32.7265625" style="156" customWidth="1"/>
    <col min="6" max="7" width="14.36328125" style="156" customWidth="1"/>
    <col min="8" max="8" width="20" style="156" bestFit="1" customWidth="1"/>
    <col min="9" max="9" width="12" style="156" bestFit="1" customWidth="1"/>
    <col min="10" max="10" width="11.6328125" style="156" bestFit="1" customWidth="1"/>
    <col min="11" max="11" width="10.36328125" style="156" customWidth="1"/>
    <col min="12" max="12" width="15.7265625" style="156" bestFit="1" customWidth="1"/>
    <col min="13" max="13" width="11.08984375" style="156" customWidth="1"/>
    <col min="14" max="14" width="10" style="156" customWidth="1"/>
    <col min="15" max="15" width="8.08984375" style="156" customWidth="1"/>
    <col min="16" max="16" width="9.08984375" style="156" bestFit="1" customWidth="1"/>
    <col min="17" max="17" width="7.26953125" style="156" customWidth="1"/>
    <col min="18" max="16384" width="11.36328125" style="156"/>
  </cols>
  <sheetData>
    <row r="2" spans="2:14" ht="18.5">
      <c r="B2" s="154" t="s">
        <v>104</v>
      </c>
      <c r="C2" s="155"/>
      <c r="D2" s="155"/>
      <c r="H2" s="157"/>
    </row>
    <row r="3" spans="2:14">
      <c r="H3" s="157">
        <v>1000000000</v>
      </c>
    </row>
    <row r="4" spans="2:14">
      <c r="M4" s="157"/>
      <c r="N4" s="157"/>
    </row>
    <row r="5" spans="2:14">
      <c r="F5" s="158" t="s">
        <v>105</v>
      </c>
      <c r="M5" s="157"/>
      <c r="N5" s="157"/>
    </row>
    <row r="6" spans="2:14" ht="30" customHeight="1">
      <c r="B6" s="159" t="s">
        <v>196</v>
      </c>
      <c r="C6" s="143">
        <f>+F14</f>
        <v>4042625.358238644</v>
      </c>
      <c r="D6" s="143"/>
      <c r="F6" s="160" t="s">
        <v>197</v>
      </c>
      <c r="G6" s="160" t="s">
        <v>198</v>
      </c>
      <c r="H6" s="161" t="s">
        <v>106</v>
      </c>
      <c r="M6" s="157"/>
      <c r="N6" s="157"/>
    </row>
    <row r="7" spans="2:14" ht="15" customHeight="1">
      <c r="B7" s="156" t="s">
        <v>107</v>
      </c>
      <c r="C7" s="162">
        <f>+C6-D7</f>
        <v>3912532.9512966443</v>
      </c>
      <c r="D7" s="144">
        <f>-H7</f>
        <v>130092.40694199991</v>
      </c>
      <c r="F7" s="157">
        <v>2206125.1727709998</v>
      </c>
      <c r="G7" s="157">
        <v>2076032.7658289999</v>
      </c>
      <c r="H7" s="125">
        <f t="shared" ref="H7:H13" si="0">+G7-F7</f>
        <v>-130092.40694199991</v>
      </c>
      <c r="M7" s="92"/>
      <c r="N7" s="157"/>
    </row>
    <row r="8" spans="2:14">
      <c r="B8" s="156" t="s">
        <v>108</v>
      </c>
      <c r="C8" s="162">
        <f>C7-D8</f>
        <v>3292254.2236516448</v>
      </c>
      <c r="D8" s="144">
        <f>-H8</f>
        <v>620278.72764499974</v>
      </c>
      <c r="E8" s="163"/>
      <c r="F8" s="157">
        <v>1362135.6947109997</v>
      </c>
      <c r="G8" s="157">
        <v>741856.96706599998</v>
      </c>
      <c r="H8" s="125">
        <f t="shared" si="0"/>
        <v>-620278.72764499974</v>
      </c>
      <c r="M8" s="157"/>
      <c r="N8" s="157"/>
    </row>
    <row r="9" spans="2:14">
      <c r="B9" s="156" t="s">
        <v>109</v>
      </c>
      <c r="C9" s="162">
        <f>+C8+D8</f>
        <v>3912532.9512966443</v>
      </c>
      <c r="D9" s="143">
        <f>H9</f>
        <v>18802.025720000001</v>
      </c>
      <c r="F9" s="157">
        <v>8111.5857450000003</v>
      </c>
      <c r="G9" s="157">
        <v>26913.611465000002</v>
      </c>
      <c r="H9" s="125">
        <f t="shared" si="0"/>
        <v>18802.025720000001</v>
      </c>
      <c r="M9" s="157"/>
      <c r="N9" s="157"/>
    </row>
    <row r="10" spans="2:14">
      <c r="B10" s="156" t="s">
        <v>110</v>
      </c>
      <c r="C10" s="162">
        <f>+C9+D9-D10</f>
        <v>3901272.7359876442</v>
      </c>
      <c r="D10" s="144">
        <f>-H10</f>
        <v>30062.241029000001</v>
      </c>
      <c r="F10" s="157">
        <v>31863.592980000001</v>
      </c>
      <c r="G10" s="157">
        <v>1801.3519510000001</v>
      </c>
      <c r="H10" s="125">
        <f t="shared" si="0"/>
        <v>-30062.241029000001</v>
      </c>
      <c r="M10" s="157"/>
      <c r="N10" s="157"/>
    </row>
    <row r="11" spans="2:14">
      <c r="B11" s="156" t="s">
        <v>159</v>
      </c>
      <c r="C11" s="162">
        <f>+C10+D10</f>
        <v>3931334.9770166441</v>
      </c>
      <c r="D11" s="143">
        <f t="shared" ref="D11" si="1">H11</f>
        <v>126859.05643299999</v>
      </c>
      <c r="F11" s="157">
        <v>227264.83113400001</v>
      </c>
      <c r="G11" s="157">
        <v>354123.887567</v>
      </c>
      <c r="H11" s="125">
        <f t="shared" si="0"/>
        <v>126859.05643299999</v>
      </c>
      <c r="M11" s="157"/>
      <c r="N11" s="157"/>
    </row>
    <row r="12" spans="2:14">
      <c r="B12" s="156" t="s">
        <v>111</v>
      </c>
      <c r="C12" s="162">
        <f>+C11+D11-D12</f>
        <v>3962265.816844644</v>
      </c>
      <c r="D12" s="144">
        <f>-H12</f>
        <v>95928.216604999994</v>
      </c>
      <c r="F12" s="164">
        <v>99.113766000015261</v>
      </c>
      <c r="G12" s="157">
        <v>-95829.102838999985</v>
      </c>
      <c r="H12" s="125">
        <f t="shared" si="0"/>
        <v>-95928.216604999994</v>
      </c>
    </row>
    <row r="13" spans="2:14">
      <c r="B13" s="156" t="s">
        <v>162</v>
      </c>
      <c r="C13" s="162">
        <f>+C12+D12</f>
        <v>4058194.0334496442</v>
      </c>
      <c r="D13" s="143">
        <f>H13</f>
        <v>45268.946759355429</v>
      </c>
      <c r="F13" s="157">
        <v>207025.36713164457</v>
      </c>
      <c r="G13" s="157">
        <v>252294.313891</v>
      </c>
      <c r="H13" s="125">
        <f t="shared" si="0"/>
        <v>45268.946759355429</v>
      </c>
      <c r="J13" s="165"/>
      <c r="K13" s="165"/>
    </row>
    <row r="14" spans="2:14">
      <c r="B14" s="159" t="s">
        <v>199</v>
      </c>
      <c r="C14" s="162">
        <f>+C6-D7-D8+D9-D10+D11-D12+D13</f>
        <v>3357193.7949299999</v>
      </c>
      <c r="D14" s="143"/>
      <c r="F14" s="94">
        <f>SUM(F7:F13)</f>
        <v>4042625.358238644</v>
      </c>
      <c r="G14" s="94">
        <f>SUM(G7:G13)</f>
        <v>3357193.7949299999</v>
      </c>
      <c r="H14" s="152">
        <f>SUM(H7:H13)</f>
        <v>-685431.56330864411</v>
      </c>
      <c r="J14" s="166"/>
    </row>
    <row r="15" spans="2:14">
      <c r="B15" s="159" t="s">
        <v>200</v>
      </c>
      <c r="C15" s="145">
        <v>3601676.0668914672</v>
      </c>
      <c r="D15" s="143"/>
      <c r="E15" s="91"/>
      <c r="F15" s="91"/>
      <c r="G15" s="91"/>
      <c r="H15" s="91"/>
      <c r="I15" s="91"/>
      <c r="J15" s="91"/>
    </row>
    <row r="16" spans="2:14">
      <c r="C16" s="146"/>
      <c r="D16" s="167"/>
      <c r="F16" s="168"/>
      <c r="G16" s="168"/>
      <c r="I16" s="95"/>
      <c r="J16" s="95"/>
      <c r="L16" s="169" t="s">
        <v>112</v>
      </c>
    </row>
    <row r="17" spans="3:16" ht="15.5">
      <c r="C17" s="147">
        <f>+G14</f>
        <v>3357193.7949299999</v>
      </c>
      <c r="D17" s="170"/>
      <c r="G17" s="96"/>
      <c r="I17" s="95"/>
      <c r="L17" s="171" t="s">
        <v>113</v>
      </c>
      <c r="M17" s="171" t="s">
        <v>114</v>
      </c>
    </row>
    <row r="18" spans="3:16">
      <c r="C18" s="172">
        <f>+C14-C17</f>
        <v>0</v>
      </c>
      <c r="D18" s="165"/>
      <c r="G18" s="127">
        <f>4042625-130092-620279+18802-30062+126859-95928+45269</f>
        <v>3357194</v>
      </c>
      <c r="H18" s="173"/>
      <c r="I18" s="95"/>
      <c r="L18" s="97">
        <f>IF(F14&lt;0,-((G14/F14)-1),(G14/F14)-1)*100</f>
        <v>-16.955109676729574</v>
      </c>
      <c r="M18" s="97">
        <f>IF(ISERR(1+(G14-C15)/ABS(C15)),"N/A",1+(G14-C15)/ABS(C15))*100</f>
        <v>93.211986102557105</v>
      </c>
    </row>
    <row r="19" spans="3:16">
      <c r="C19" s="173"/>
      <c r="D19" s="165"/>
      <c r="G19" s="174">
        <f>+G14-G18</f>
        <v>-0.20507000014185905</v>
      </c>
      <c r="I19" s="175"/>
    </row>
    <row r="20" spans="3:16">
      <c r="C20" s="173"/>
      <c r="D20" s="165"/>
      <c r="I20" s="95"/>
    </row>
    <row r="21" spans="3:16">
      <c r="I21" s="95"/>
    </row>
    <row r="23" spans="3:16">
      <c r="M23" s="176"/>
      <c r="N23" s="176"/>
      <c r="O23" s="176"/>
    </row>
    <row r="24" spans="3:16">
      <c r="M24" s="98"/>
      <c r="O24" s="98"/>
    </row>
    <row r="25" spans="3:16">
      <c r="M25" s="98"/>
      <c r="N25" s="98"/>
      <c r="O25" s="98"/>
    </row>
    <row r="26" spans="3:16">
      <c r="M26" s="98"/>
      <c r="N26" s="98"/>
      <c r="O26" s="98"/>
      <c r="P26" s="98"/>
    </row>
    <row r="27" spans="3:16">
      <c r="M27" s="98"/>
      <c r="N27" s="98"/>
      <c r="O27" s="98"/>
      <c r="P27" s="98"/>
    </row>
    <row r="28" spans="3:16">
      <c r="M28" s="98"/>
      <c r="N28" s="98"/>
      <c r="O28" s="98"/>
      <c r="P28" s="98"/>
    </row>
    <row r="29" spans="3:16">
      <c r="M29" s="98"/>
      <c r="N29" s="98"/>
      <c r="O29" s="98"/>
      <c r="P29" s="98"/>
    </row>
    <row r="30" spans="3:16">
      <c r="M30" s="98" t="s">
        <v>179</v>
      </c>
      <c r="N30" s="98"/>
      <c r="O30" s="98"/>
      <c r="P30" s="98"/>
    </row>
    <row r="31" spans="3:16">
      <c r="M31" s="98"/>
      <c r="N31" s="98"/>
      <c r="O31" s="98"/>
      <c r="P31" s="98"/>
    </row>
    <row r="42" spans="2:12" hidden="1">
      <c r="B42" s="177" t="s">
        <v>115</v>
      </c>
      <c r="C42" s="178" t="s">
        <v>116</v>
      </c>
    </row>
    <row r="43" spans="2:12" hidden="1"/>
    <row r="44" spans="2:12" hidden="1">
      <c r="B44" s="166" t="s">
        <v>160</v>
      </c>
      <c r="C44" s="179">
        <v>1670.7905559040601</v>
      </c>
      <c r="F44" s="156" t="s">
        <v>117</v>
      </c>
      <c r="G44" s="156" t="s">
        <v>118</v>
      </c>
      <c r="H44" s="156" t="s">
        <v>106</v>
      </c>
      <c r="I44" s="156" t="s">
        <v>119</v>
      </c>
      <c r="J44" s="156">
        <v>1639</v>
      </c>
    </row>
    <row r="45" spans="2:12" hidden="1">
      <c r="B45" s="156" t="s">
        <v>120</v>
      </c>
      <c r="C45" s="173">
        <f>C44</f>
        <v>1670.7905559040601</v>
      </c>
      <c r="D45" s="165">
        <f>H45</f>
        <v>52.83612692600002</v>
      </c>
      <c r="F45" s="180">
        <v>821.91093747000002</v>
      </c>
      <c r="G45" s="180">
        <v>874.74706439600004</v>
      </c>
      <c r="H45" s="156">
        <f>+G45-F45</f>
        <v>52.83612692600002</v>
      </c>
      <c r="I45" s="95">
        <f>(1+(G45-F45)/ABS(F45))</f>
        <v>1.0642844918071535</v>
      </c>
      <c r="J45" s="156">
        <v>-59</v>
      </c>
      <c r="K45" s="165"/>
      <c r="L45" s="173"/>
    </row>
    <row r="46" spans="2:12" hidden="1">
      <c r="B46" s="156" t="s">
        <v>121</v>
      </c>
      <c r="C46" s="173">
        <f>+C45+D45-D46</f>
        <v>1695.566309976133</v>
      </c>
      <c r="D46" s="165">
        <f>-H46</f>
        <v>28.060372853927049</v>
      </c>
      <c r="F46" s="180">
        <v>364.62711345000002</v>
      </c>
      <c r="G46" s="180">
        <v>336.56674059607298</v>
      </c>
      <c r="H46" s="156">
        <f>+G46-F46</f>
        <v>-28.060372853927049</v>
      </c>
      <c r="I46" s="95">
        <f>(1+(G46-F46)/ABS(F46))</f>
        <v>0.92304364700576536</v>
      </c>
      <c r="J46" s="156">
        <v>-52</v>
      </c>
      <c r="K46" s="165"/>
    </row>
    <row r="47" spans="2:12" hidden="1">
      <c r="B47" s="156" t="s">
        <v>122</v>
      </c>
      <c r="C47" s="173">
        <f>+C46-D47</f>
        <v>1663.1205314935889</v>
      </c>
      <c r="D47" s="165">
        <f>-H47</f>
        <v>32.445778482543972</v>
      </c>
      <c r="F47" s="180">
        <v>411.80162351856097</v>
      </c>
      <c r="G47" s="180">
        <v>379.355845036017</v>
      </c>
      <c r="H47" s="156">
        <f>+G47-F47</f>
        <v>-32.445778482543972</v>
      </c>
      <c r="I47" s="95">
        <f>(1+(G47-F47)/ABS(F47))</f>
        <v>0.92121017346819289</v>
      </c>
      <c r="J47" s="156">
        <v>-51</v>
      </c>
      <c r="K47" s="165"/>
    </row>
    <row r="48" spans="2:12" hidden="1">
      <c r="B48" s="156" t="s">
        <v>103</v>
      </c>
      <c r="C48" s="173">
        <f>C47-D48</f>
        <v>1636.1470000000645</v>
      </c>
      <c r="D48" s="165">
        <f>-H48</f>
        <v>26.973531493524405</v>
      </c>
      <c r="F48" s="180">
        <v>72.450881465500004</v>
      </c>
      <c r="G48" s="180">
        <v>45.477349971975599</v>
      </c>
      <c r="H48" s="156">
        <f>+G48-F48</f>
        <v>-26.973531493524405</v>
      </c>
      <c r="I48" s="95">
        <f>(1+(G48-F48)/ABS(F48))</f>
        <v>0.6276990569622154</v>
      </c>
      <c r="J48" s="156">
        <v>-4</v>
      </c>
      <c r="K48" s="165"/>
    </row>
    <row r="49" spans="2:16" hidden="1">
      <c r="B49" s="166" t="s">
        <v>161</v>
      </c>
      <c r="C49" s="181">
        <f>+C44+H45+H46+H47+H48</f>
        <v>1636.1470000000645</v>
      </c>
      <c r="D49" s="175"/>
      <c r="I49" s="95">
        <f>(1+(C49-C44)/ABS(C44))</f>
        <v>0.97926517133965363</v>
      </c>
      <c r="J49" s="166">
        <f>SUM(J44:J48)</f>
        <v>1473</v>
      </c>
    </row>
    <row r="50" spans="2:16" hidden="1">
      <c r="B50" s="166"/>
      <c r="C50" s="179">
        <v>1636.14700000007</v>
      </c>
      <c r="I50" s="95">
        <f>+C49/C44</f>
        <v>0.97926517133965363</v>
      </c>
    </row>
    <row r="51" spans="2:16" hidden="1">
      <c r="C51" s="182">
        <f>+C50-C49</f>
        <v>5.4569682106375694E-12</v>
      </c>
      <c r="I51" s="100"/>
    </row>
    <row r="52" spans="2:16" hidden="1"/>
    <row r="53" spans="2:16" hidden="1"/>
    <row r="54" spans="2:16" hidden="1">
      <c r="M54" s="179">
        <v>1670.7905559040601</v>
      </c>
      <c r="N54" s="179">
        <v>1670.7905559040601</v>
      </c>
      <c r="O54" s="179">
        <v>1670.7905559040601</v>
      </c>
      <c r="P54" s="179">
        <v>1670.7905559040601</v>
      </c>
    </row>
    <row r="55" spans="2:16" hidden="1">
      <c r="M55" s="165">
        <v>52.83612692600002</v>
      </c>
      <c r="N55" s="165">
        <v>52.83612692600002</v>
      </c>
      <c r="O55" s="165">
        <v>52.83612692600002</v>
      </c>
      <c r="P55" s="165">
        <v>52.83612692600002</v>
      </c>
    </row>
    <row r="56" spans="2:16" hidden="1">
      <c r="N56" s="165">
        <v>-28.060372853927049</v>
      </c>
      <c r="O56" s="165">
        <v>-28.060372853927049</v>
      </c>
      <c r="P56" s="165">
        <v>-28.060372853927049</v>
      </c>
    </row>
    <row r="57" spans="2:16" hidden="1">
      <c r="O57" s="165">
        <v>-32.445778482543972</v>
      </c>
      <c r="P57" s="165">
        <v>-32.445778482543972</v>
      </c>
    </row>
    <row r="58" spans="2:16" hidden="1">
      <c r="P58" s="165">
        <v>-26.973531493524405</v>
      </c>
    </row>
    <row r="59" spans="2:16" ht="15" hidden="1" thickBot="1">
      <c r="M59" s="101">
        <f>SUM(M54:M58)</f>
        <v>1723.62668283006</v>
      </c>
      <c r="N59" s="101">
        <f>SUM(N54:N58)</f>
        <v>1695.566309976133</v>
      </c>
      <c r="O59" s="101">
        <f>SUM(O54:O58)</f>
        <v>1663.1205314935889</v>
      </c>
      <c r="P59" s="101">
        <f>SUM(P54:P58)</f>
        <v>1636.1470000000645</v>
      </c>
    </row>
    <row r="60" spans="2:16" hidden="1"/>
    <row r="61" spans="2:16" hidden="1"/>
    <row r="62" spans="2:16" hidden="1"/>
    <row r="63" spans="2:16" hidden="1"/>
    <row r="64" spans="2:16" hidden="1"/>
    <row r="65" spans="2:11" hidden="1"/>
    <row r="66" spans="2:11" hidden="1">
      <c r="B66" s="177" t="s">
        <v>123</v>
      </c>
      <c r="C66" s="178" t="s">
        <v>116</v>
      </c>
    </row>
    <row r="67" spans="2:11" hidden="1"/>
    <row r="68" spans="2:11" hidden="1">
      <c r="B68" s="166" t="s">
        <v>160</v>
      </c>
      <c r="C68" s="179">
        <v>258.56819704383702</v>
      </c>
      <c r="F68" s="156" t="s">
        <v>117</v>
      </c>
      <c r="G68" s="156" t="s">
        <v>118</v>
      </c>
      <c r="H68" s="156" t="s">
        <v>106</v>
      </c>
      <c r="I68" s="156" t="s">
        <v>119</v>
      </c>
      <c r="J68" s="156">
        <v>311</v>
      </c>
    </row>
    <row r="69" spans="2:11" hidden="1">
      <c r="B69" s="156" t="s">
        <v>120</v>
      </c>
      <c r="C69" s="173">
        <f>+C68</f>
        <v>258.56819704383702</v>
      </c>
      <c r="D69" s="165">
        <f>H69</f>
        <v>30.899603648679999</v>
      </c>
      <c r="F69" s="180">
        <v>230.643116080455</v>
      </c>
      <c r="G69" s="180">
        <v>261.542719729135</v>
      </c>
      <c r="H69" s="156">
        <f>+G69-F69</f>
        <v>30.899603648679999</v>
      </c>
      <c r="I69" s="95">
        <f>(1+(G69-F69)/ABS(F69))</f>
        <v>1.1339714974970305</v>
      </c>
      <c r="J69" s="156">
        <v>13</v>
      </c>
      <c r="K69" s="173"/>
    </row>
    <row r="70" spans="2:11" hidden="1">
      <c r="B70" s="156" t="s">
        <v>121</v>
      </c>
      <c r="C70" s="173">
        <f>+C69+D69-D70</f>
        <v>280.35849533998254</v>
      </c>
      <c r="D70" s="165">
        <f>-H70</f>
        <v>9.1093053525344594</v>
      </c>
      <c r="F70" s="180">
        <v>-6.0782759230000396</v>
      </c>
      <c r="G70" s="180">
        <v>-15.1875812755345</v>
      </c>
      <c r="H70" s="156">
        <f>+G70-F70</f>
        <v>-9.1093053525344594</v>
      </c>
      <c r="I70" s="95">
        <f>(1+(G70-F70)/ABS(F70))</f>
        <v>-0.49866598159275433</v>
      </c>
      <c r="J70" s="156">
        <v>-23</v>
      </c>
    </row>
    <row r="71" spans="2:11" hidden="1">
      <c r="B71" s="156" t="s">
        <v>122</v>
      </c>
      <c r="C71" s="173">
        <f>C70</f>
        <v>280.35849533998254</v>
      </c>
      <c r="D71" s="165">
        <f>H71</f>
        <v>13.11912145225989</v>
      </c>
      <c r="F71" s="180">
        <v>82.048718518405707</v>
      </c>
      <c r="G71" s="180">
        <v>95.167839970665597</v>
      </c>
      <c r="H71" s="156">
        <f>+G71-F71</f>
        <v>13.11912145225989</v>
      </c>
      <c r="I71" s="95">
        <f>(1+(G71-F71)/ABS(F71))</f>
        <v>1.1598942882857692</v>
      </c>
      <c r="J71" s="156">
        <v>-40</v>
      </c>
    </row>
    <row r="72" spans="2:11" hidden="1">
      <c r="B72" s="156" t="s">
        <v>103</v>
      </c>
      <c r="C72" s="173">
        <f>+C71+D71</f>
        <v>293.47761679224243</v>
      </c>
      <c r="D72" s="165">
        <f>H72</f>
        <v>1.7943208710448033</v>
      </c>
      <c r="F72" s="180">
        <v>-48.045361632023301</v>
      </c>
      <c r="G72" s="180">
        <v>-46.251040760978498</v>
      </c>
      <c r="H72" s="156">
        <f>+G72-F72</f>
        <v>1.7943208710448033</v>
      </c>
      <c r="I72" s="95">
        <f>(1+(G72-F72)/ABS(F72))</f>
        <v>1.0373463912039502</v>
      </c>
      <c r="J72" s="156">
        <v>14</v>
      </c>
    </row>
    <row r="73" spans="2:11" hidden="1">
      <c r="B73" s="166" t="s">
        <v>161</v>
      </c>
      <c r="C73" s="173">
        <f>+C68+H69+H70+H71+H72</f>
        <v>295.27193766328725</v>
      </c>
      <c r="D73" s="175"/>
      <c r="I73" s="95">
        <f>(1+(C73-C68)/ABS(C68))</f>
        <v>1.1419499421780304</v>
      </c>
      <c r="J73" s="166">
        <f>SUM(J68:J72)</f>
        <v>275</v>
      </c>
    </row>
    <row r="74" spans="2:11" hidden="1">
      <c r="B74" s="166"/>
      <c r="C74" s="183">
        <v>295.27191766328701</v>
      </c>
      <c r="I74" s="95">
        <f>+C73/C68</f>
        <v>1.1419499421780304</v>
      </c>
      <c r="J74" s="95"/>
    </row>
    <row r="75" spans="2:11" hidden="1">
      <c r="C75" s="184">
        <f>+C74-C73</f>
        <v>-2.0000000233721948E-5</v>
      </c>
      <c r="I75" s="95"/>
    </row>
    <row r="76" spans="2:11" hidden="1">
      <c r="C76" s="173"/>
      <c r="I76" s="102"/>
    </row>
    <row r="77" spans="2:11" hidden="1">
      <c r="C77" s="173"/>
      <c r="I77" s="102"/>
    </row>
    <row r="78" spans="2:11" hidden="1"/>
    <row r="79" spans="2:11" hidden="1"/>
    <row r="80" spans="2:11" hidden="1"/>
    <row r="81" spans="14:17" hidden="1">
      <c r="N81" s="179">
        <v>258.56819704383702</v>
      </c>
      <c r="O81" s="179">
        <v>258.56819704383702</v>
      </c>
      <c r="P81" s="179">
        <v>258.56819704383702</v>
      </c>
      <c r="Q81" s="179">
        <v>258.56819704383702</v>
      </c>
    </row>
    <row r="82" spans="14:17" hidden="1">
      <c r="N82" s="165">
        <v>30.899603648679999</v>
      </c>
      <c r="O82" s="165">
        <v>30.899603648679999</v>
      </c>
      <c r="P82" s="165">
        <v>30.899603648679999</v>
      </c>
      <c r="Q82" s="165">
        <v>30.899603648679999</v>
      </c>
    </row>
    <row r="83" spans="14:17" hidden="1">
      <c r="O83" s="165">
        <v>-9.1093053525344594</v>
      </c>
      <c r="P83" s="165">
        <v>-9.1093053525344594</v>
      </c>
      <c r="Q83" s="165">
        <v>-9.1093053525344594</v>
      </c>
    </row>
    <row r="84" spans="14:17" hidden="1">
      <c r="P84" s="165">
        <v>13.11912145225989</v>
      </c>
      <c r="Q84" s="165">
        <v>13.11912145225989</v>
      </c>
    </row>
    <row r="85" spans="14:17" hidden="1">
      <c r="Q85" s="165">
        <v>1.7943208710448033</v>
      </c>
    </row>
    <row r="86" spans="14:17" ht="15" hidden="1" thickBot="1">
      <c r="N86" s="101">
        <f>SUM(N81:N85)</f>
        <v>289.46780069251702</v>
      </c>
      <c r="O86" s="101">
        <f>SUM(O81:O85)</f>
        <v>280.35849533998254</v>
      </c>
      <c r="P86" s="101">
        <f>SUM(P81:P85)</f>
        <v>293.47761679224243</v>
      </c>
      <c r="Q86" s="101">
        <f>SUM(Q81:Q85)</f>
        <v>295.27193766328725</v>
      </c>
    </row>
    <row r="87" spans="14:17" hidden="1"/>
    <row r="88" spans="14:17" hidden="1"/>
    <row r="89" spans="14:17" hidden="1"/>
    <row r="90" spans="14:17" hidden="1"/>
    <row r="91" spans="14:17" hidden="1"/>
    <row r="92" spans="14:17" hidden="1"/>
    <row r="93" spans="14:17" hidden="1"/>
    <row r="94" spans="14:17" hidden="1"/>
    <row r="101" spans="11:13">
      <c r="K101" s="103"/>
      <c r="L101" s="104"/>
      <c r="M101" s="104"/>
    </row>
  </sheetData>
  <pageMargins left="0.7" right="0.7" top="0.75" bottom="0.75" header="0.3" footer="0.3"/>
  <pageSetup orientation="portrait" r:id="rId1"/>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tabColor rgb="FF002060"/>
  </sheetPr>
  <dimension ref="A1:R98"/>
  <sheetViews>
    <sheetView showGridLines="0" zoomScaleNormal="100" workbookViewId="0">
      <selection activeCell="L96" sqref="L96"/>
    </sheetView>
  </sheetViews>
  <sheetFormatPr baseColWidth="10" defaultColWidth="11.36328125" defaultRowHeight="14.5"/>
  <cols>
    <col min="1" max="1" width="11.36328125" style="156"/>
    <col min="2" max="2" width="17.81640625" style="156" bestFit="1" customWidth="1"/>
    <col min="3" max="3" width="13.7265625" style="156" customWidth="1"/>
    <col min="4" max="4" width="13.6328125" style="156" customWidth="1"/>
    <col min="5" max="5" width="16.26953125" style="156" bestFit="1" customWidth="1"/>
    <col min="6" max="6" width="11.36328125" style="156"/>
    <col min="7" max="7" width="15" style="156" customWidth="1"/>
    <col min="8" max="8" width="14.81640625" style="156" customWidth="1"/>
    <col min="9" max="9" width="16.08984375" style="156" customWidth="1"/>
    <col min="10" max="11" width="11.6328125" style="156" bestFit="1" customWidth="1"/>
    <col min="12" max="12" width="10.36328125" style="156" customWidth="1"/>
    <col min="13" max="13" width="11.36328125" style="156"/>
    <col min="14" max="14" width="11.08984375" style="156" customWidth="1"/>
    <col min="15" max="15" width="8.7265625" style="156" bestFit="1" customWidth="1"/>
    <col min="16" max="16" width="8.08984375" style="156" customWidth="1"/>
    <col min="17" max="17" width="7.26953125" style="156" bestFit="1" customWidth="1"/>
    <col min="18" max="18" width="7.26953125" style="156" customWidth="1"/>
    <col min="19" max="16384" width="11.36328125" style="156"/>
  </cols>
  <sheetData>
    <row r="1" spans="1:14">
      <c r="A1" s="185"/>
    </row>
    <row r="2" spans="1:14" ht="18.5">
      <c r="B2" s="154" t="s">
        <v>180</v>
      </c>
      <c r="C2" s="155"/>
      <c r="H2" s="157"/>
    </row>
    <row r="3" spans="1:14">
      <c r="I3" s="157">
        <v>1000000000</v>
      </c>
    </row>
    <row r="4" spans="1:14">
      <c r="B4" s="186"/>
      <c r="C4" s="178"/>
    </row>
    <row r="5" spans="1:14">
      <c r="G5" s="158" t="s">
        <v>124</v>
      </c>
    </row>
    <row r="6" spans="1:14" ht="36" customHeight="1">
      <c r="B6" s="159" t="s">
        <v>201</v>
      </c>
      <c r="C6" s="187">
        <f>+G14-1</f>
        <v>948782.45979364519</v>
      </c>
      <c r="D6" s="91"/>
      <c r="G6" s="185" t="s">
        <v>197</v>
      </c>
      <c r="H6" s="188" t="s">
        <v>198</v>
      </c>
      <c r="I6" s="161" t="s">
        <v>106</v>
      </c>
    </row>
    <row r="7" spans="1:14" ht="15" customHeight="1">
      <c r="B7" s="156" t="s">
        <v>107</v>
      </c>
      <c r="C7" s="187">
        <f>+C6-D7</f>
        <v>797252.67539764522</v>
      </c>
      <c r="D7" s="126">
        <f>-I7</f>
        <v>151529.78439600003</v>
      </c>
      <c r="G7" s="157">
        <v>425611.41976700001</v>
      </c>
      <c r="H7" s="157">
        <v>274081.63537099998</v>
      </c>
      <c r="I7" s="125">
        <f t="shared" ref="I7:I13" si="0">+H7-G7</f>
        <v>-151529.78439600003</v>
      </c>
    </row>
    <row r="8" spans="1:14">
      <c r="B8" s="156" t="s">
        <v>108</v>
      </c>
      <c r="C8" s="187">
        <f>+C7+D8</f>
        <v>806731.25274764514</v>
      </c>
      <c r="D8" s="126">
        <f>-I8</f>
        <v>9478.5773499999486</v>
      </c>
      <c r="G8" s="157">
        <v>244793.07880399999</v>
      </c>
      <c r="H8" s="157">
        <v>235314.50145400004</v>
      </c>
      <c r="I8" s="125">
        <f t="shared" si="0"/>
        <v>-9478.5773499999486</v>
      </c>
    </row>
    <row r="9" spans="1:14">
      <c r="B9" s="156" t="s">
        <v>109</v>
      </c>
      <c r="C9" s="187">
        <f t="shared" ref="C9:C11" si="1">+C8+D8</f>
        <v>816209.83009764506</v>
      </c>
      <c r="D9" s="93">
        <f>I9</f>
        <v>5316.220292</v>
      </c>
      <c r="G9" s="157">
        <v>401.70980700000001</v>
      </c>
      <c r="H9" s="157">
        <v>5717.9300990000002</v>
      </c>
      <c r="I9" s="125">
        <f t="shared" si="0"/>
        <v>5316.220292</v>
      </c>
    </row>
    <row r="10" spans="1:14">
      <c r="B10" s="156" t="s">
        <v>110</v>
      </c>
      <c r="C10" s="187">
        <f>+C9+D9-D10</f>
        <v>787866.40777764504</v>
      </c>
      <c r="D10" s="126">
        <f>-I10</f>
        <v>33659.642612000003</v>
      </c>
      <c r="G10" s="157">
        <v>3890.4469859999999</v>
      </c>
      <c r="H10" s="157">
        <v>-29769.195626000001</v>
      </c>
      <c r="I10" s="125">
        <f t="shared" si="0"/>
        <v>-33659.642612000003</v>
      </c>
    </row>
    <row r="11" spans="1:14">
      <c r="B11" s="156" t="s">
        <v>159</v>
      </c>
      <c r="C11" s="187">
        <f t="shared" si="1"/>
        <v>821526.05038964504</v>
      </c>
      <c r="D11" s="93">
        <f t="shared" ref="D11" si="2">I11</f>
        <v>49173.670126000012</v>
      </c>
      <c r="G11" s="157">
        <v>121826.29178099998</v>
      </c>
      <c r="H11" s="157">
        <v>170999.96190699999</v>
      </c>
      <c r="I11" s="125">
        <f t="shared" si="0"/>
        <v>49173.670126000012</v>
      </c>
    </row>
    <row r="12" spans="1:14">
      <c r="B12" s="156" t="s">
        <v>111</v>
      </c>
      <c r="C12" s="187">
        <f>+C11+D11-D12</f>
        <v>869900.26562164514</v>
      </c>
      <c r="D12" s="93">
        <f>I12+3</f>
        <v>799.45489399998405</v>
      </c>
      <c r="G12" s="157">
        <v>-25273.028381999986</v>
      </c>
      <c r="H12" s="157">
        <v>-24476.573488000002</v>
      </c>
      <c r="I12" s="125">
        <f t="shared" si="0"/>
        <v>796.45489399998405</v>
      </c>
    </row>
    <row r="13" spans="1:14">
      <c r="B13" s="156" t="s">
        <v>162</v>
      </c>
      <c r="C13" s="187">
        <f>+C12+D12</f>
        <v>870699.72051564511</v>
      </c>
      <c r="D13" s="93">
        <f>I13</f>
        <v>45118.030886354973</v>
      </c>
      <c r="G13" s="157">
        <v>177533.54103064502</v>
      </c>
      <c r="H13" s="157">
        <v>222651.57191699999</v>
      </c>
      <c r="I13" s="125">
        <f t="shared" si="0"/>
        <v>45118.030886354973</v>
      </c>
      <c r="K13" s="165"/>
      <c r="L13" s="165"/>
    </row>
    <row r="14" spans="1:14">
      <c r="B14" s="159" t="s">
        <v>202</v>
      </c>
      <c r="C14" s="187">
        <f>+C6-D7-D8+D9-D10+D11+D12+D13-2</f>
        <v>854519.83163400029</v>
      </c>
      <c r="D14" s="93"/>
      <c r="E14" s="163"/>
      <c r="G14" s="94">
        <f>SUM(G7:G13)</f>
        <v>948783.45979364519</v>
      </c>
      <c r="H14" s="94">
        <f>SUM(H7:H13)</f>
        <v>854519.83163400006</v>
      </c>
      <c r="I14" s="189">
        <f>SUM(I7:I13)</f>
        <v>-94263.628159644984</v>
      </c>
      <c r="K14" s="166"/>
    </row>
    <row r="15" spans="1:14">
      <c r="B15" s="159" t="s">
        <v>200</v>
      </c>
      <c r="C15" s="157">
        <v>784644.17569244921</v>
      </c>
      <c r="D15" s="98"/>
      <c r="E15" s="98"/>
      <c r="F15" s="98"/>
      <c r="G15" s="98"/>
      <c r="H15" s="98"/>
      <c r="I15" s="98"/>
      <c r="J15" s="98"/>
      <c r="K15" s="98"/>
      <c r="M15" s="169" t="s">
        <v>112</v>
      </c>
    </row>
    <row r="16" spans="1:14" ht="15.5">
      <c r="C16" s="95"/>
      <c r="D16" s="165"/>
      <c r="H16" s="172"/>
      <c r="K16" s="95"/>
      <c r="M16" s="171" t="s">
        <v>113</v>
      </c>
      <c r="N16" s="171" t="s">
        <v>114</v>
      </c>
    </row>
    <row r="17" spans="3:17">
      <c r="C17" s="99">
        <f>+H14</f>
        <v>854519.83163400006</v>
      </c>
      <c r="D17" s="163"/>
      <c r="E17" s="163"/>
      <c r="F17" s="163"/>
      <c r="H17" s="190"/>
      <c r="J17" s="95"/>
      <c r="M17" s="97">
        <f>IF(G14&lt;0,-((H14/G14)-1),(H14/G14)-1)*100</f>
        <v>-9.935209892902952</v>
      </c>
      <c r="N17" s="97">
        <f>IF(ISERR(1+(H14-C15)/ABS(C15)),"N/A",1+(H14-C15)/ABS(C15))*100</f>
        <v>108.90539407622386</v>
      </c>
    </row>
    <row r="18" spans="3:17">
      <c r="C18" s="99">
        <f>+C14-C17</f>
        <v>0</v>
      </c>
      <c r="D18" s="165"/>
      <c r="H18" s="148">
        <f>948783-151530-9479+5316-33660+49174+796+45118+2</f>
        <v>854520</v>
      </c>
      <c r="J18" s="95"/>
    </row>
    <row r="19" spans="3:17">
      <c r="C19" s="173"/>
      <c r="D19" s="165"/>
      <c r="H19" s="190">
        <f>+H14-H18</f>
        <v>-0.16836599993985146</v>
      </c>
      <c r="J19" s="175"/>
    </row>
    <row r="20" spans="3:17">
      <c r="C20" s="173"/>
      <c r="D20" s="165"/>
      <c r="J20" s="95"/>
    </row>
    <row r="21" spans="3:17">
      <c r="J21" s="95"/>
    </row>
    <row r="23" spans="3:17">
      <c r="N23" s="176"/>
      <c r="O23" s="176"/>
      <c r="P23" s="176"/>
      <c r="Q23" s="176"/>
    </row>
    <row r="24" spans="3:17">
      <c r="N24" s="98"/>
      <c r="O24" s="98"/>
      <c r="P24" s="98"/>
      <c r="Q24" s="98"/>
    </row>
    <row r="25" spans="3:17">
      <c r="O25" s="98"/>
      <c r="Q25" s="98"/>
    </row>
    <row r="26" spans="3:17">
      <c r="N26" s="98"/>
      <c r="O26" s="98"/>
      <c r="P26" s="98"/>
      <c r="Q26" s="98"/>
    </row>
    <row r="27" spans="3:17">
      <c r="N27" s="98"/>
      <c r="O27" s="98"/>
      <c r="P27" s="98"/>
      <c r="Q27" s="98"/>
    </row>
    <row r="28" spans="3:17">
      <c r="N28" s="98"/>
      <c r="O28" s="98"/>
      <c r="P28" s="98"/>
      <c r="Q28" s="98"/>
    </row>
    <row r="29" spans="3:17">
      <c r="N29" s="98"/>
      <c r="O29" s="98"/>
      <c r="P29" s="98"/>
      <c r="Q29" s="98"/>
    </row>
    <row r="30" spans="3:17">
      <c r="N30" s="98"/>
      <c r="O30" s="98"/>
      <c r="P30" s="98"/>
      <c r="Q30" s="98"/>
    </row>
    <row r="31" spans="3:17">
      <c r="N31" s="98"/>
      <c r="O31" s="98"/>
      <c r="P31" s="98"/>
      <c r="Q31" s="98"/>
    </row>
    <row r="42" spans="2:13" hidden="1">
      <c r="B42" s="177" t="s">
        <v>115</v>
      </c>
      <c r="C42" s="178" t="s">
        <v>116</v>
      </c>
    </row>
    <row r="43" spans="2:13" hidden="1"/>
    <row r="44" spans="2:13" hidden="1">
      <c r="B44" s="166" t="s">
        <v>160</v>
      </c>
      <c r="C44" s="179">
        <v>1670.7905559040601</v>
      </c>
      <c r="G44" s="156" t="s">
        <v>117</v>
      </c>
      <c r="H44" s="156" t="s">
        <v>118</v>
      </c>
      <c r="I44" s="156" t="s">
        <v>106</v>
      </c>
      <c r="J44" s="156" t="s">
        <v>119</v>
      </c>
      <c r="K44" s="156">
        <v>1639</v>
      </c>
    </row>
    <row r="45" spans="2:13" hidden="1">
      <c r="B45" s="156" t="s">
        <v>120</v>
      </c>
      <c r="C45" s="173">
        <f>C44</f>
        <v>1670.7905559040601</v>
      </c>
      <c r="D45" s="165">
        <f>I45</f>
        <v>52.83612692600002</v>
      </c>
      <c r="G45" s="180">
        <v>821.91093747000002</v>
      </c>
      <c r="H45" s="180">
        <v>874.74706439600004</v>
      </c>
      <c r="I45" s="156">
        <f>+H45-G45</f>
        <v>52.83612692600002</v>
      </c>
      <c r="J45" s="95">
        <f>(1+(H45-G45)/ABS(G45))</f>
        <v>1.0642844918071535</v>
      </c>
      <c r="K45" s="156">
        <v>-59</v>
      </c>
      <c r="L45" s="165"/>
      <c r="M45" s="173"/>
    </row>
    <row r="46" spans="2:13" hidden="1">
      <c r="B46" s="156" t="s">
        <v>121</v>
      </c>
      <c r="C46" s="173">
        <f>+C45+D45-D46</f>
        <v>1695.566309976133</v>
      </c>
      <c r="D46" s="165">
        <f>-I46</f>
        <v>28.060372853927049</v>
      </c>
      <c r="G46" s="180">
        <v>364.62711345000002</v>
      </c>
      <c r="H46" s="180">
        <v>336.56674059607298</v>
      </c>
      <c r="I46" s="156">
        <f>+H46-G46</f>
        <v>-28.060372853927049</v>
      </c>
      <c r="J46" s="95">
        <f>(1+(H46-G46)/ABS(G46))</f>
        <v>0.92304364700576536</v>
      </c>
      <c r="K46" s="156">
        <v>-52</v>
      </c>
      <c r="L46" s="165"/>
    </row>
    <row r="47" spans="2:13" hidden="1">
      <c r="B47" s="156" t="s">
        <v>122</v>
      </c>
      <c r="C47" s="173">
        <f>+C46-D47</f>
        <v>1663.1205314935889</v>
      </c>
      <c r="D47" s="165">
        <f>-I47</f>
        <v>32.445778482543972</v>
      </c>
      <c r="G47" s="180">
        <v>411.80162351856097</v>
      </c>
      <c r="H47" s="180">
        <v>379.355845036017</v>
      </c>
      <c r="I47" s="156">
        <f>+H47-G47</f>
        <v>-32.445778482543972</v>
      </c>
      <c r="J47" s="95">
        <f>(1+(H47-G47)/ABS(G47))</f>
        <v>0.92121017346819289</v>
      </c>
      <c r="K47" s="156">
        <v>-51</v>
      </c>
      <c r="L47" s="165"/>
    </row>
    <row r="48" spans="2:13" hidden="1">
      <c r="B48" s="156" t="s">
        <v>103</v>
      </c>
      <c r="C48" s="173">
        <f>C47-D48</f>
        <v>1636.1470000000645</v>
      </c>
      <c r="D48" s="165">
        <f>-I48</f>
        <v>26.973531493524405</v>
      </c>
      <c r="G48" s="180">
        <v>72.450881465500004</v>
      </c>
      <c r="H48" s="180">
        <v>45.477349971975599</v>
      </c>
      <c r="I48" s="156">
        <f>+H48-G48</f>
        <v>-26.973531493524405</v>
      </c>
      <c r="J48" s="95">
        <f>(1+(H48-G48)/ABS(G48))</f>
        <v>0.6276990569622154</v>
      </c>
      <c r="K48" s="156">
        <v>-4</v>
      </c>
      <c r="L48" s="165"/>
    </row>
    <row r="49" spans="2:17" hidden="1">
      <c r="B49" s="166" t="s">
        <v>161</v>
      </c>
      <c r="C49" s="181">
        <f>+C44+I45+I46+I47+I48</f>
        <v>1636.1470000000645</v>
      </c>
      <c r="D49" s="175"/>
      <c r="J49" s="95">
        <f>(1+(C49-C44)/ABS(C44))</f>
        <v>0.97926517133965363</v>
      </c>
      <c r="K49" s="166">
        <f>SUM(K44:K48)</f>
        <v>1473</v>
      </c>
    </row>
    <row r="50" spans="2:17" hidden="1">
      <c r="B50" s="166"/>
      <c r="C50" s="179">
        <v>1636.14700000007</v>
      </c>
      <c r="J50" s="95">
        <f>+C49/C44</f>
        <v>0.97926517133965363</v>
      </c>
    </row>
    <row r="51" spans="2:17" hidden="1">
      <c r="C51" s="182">
        <f>+C50-C49</f>
        <v>5.4569682106375694E-12</v>
      </c>
      <c r="J51" s="100"/>
    </row>
    <row r="52" spans="2:17" hidden="1"/>
    <row r="53" spans="2:17" hidden="1"/>
    <row r="54" spans="2:17" hidden="1">
      <c r="N54" s="179">
        <v>1670.7905559040601</v>
      </c>
      <c r="O54" s="179">
        <v>1670.7905559040601</v>
      </c>
      <c r="P54" s="179">
        <v>1670.7905559040601</v>
      </c>
      <c r="Q54" s="179">
        <v>1670.7905559040601</v>
      </c>
    </row>
    <row r="55" spans="2:17" hidden="1">
      <c r="N55" s="165">
        <v>52.83612692600002</v>
      </c>
      <c r="O55" s="165">
        <v>52.83612692600002</v>
      </c>
      <c r="P55" s="165">
        <v>52.83612692600002</v>
      </c>
      <c r="Q55" s="165">
        <v>52.83612692600002</v>
      </c>
    </row>
    <row r="56" spans="2:17" hidden="1">
      <c r="O56" s="165">
        <v>-28.060372853927049</v>
      </c>
      <c r="P56" s="165">
        <v>-28.060372853927049</v>
      </c>
      <c r="Q56" s="165">
        <v>-28.060372853927049</v>
      </c>
    </row>
    <row r="57" spans="2:17" hidden="1">
      <c r="P57" s="165">
        <v>-32.445778482543972</v>
      </c>
      <c r="Q57" s="165">
        <v>-32.445778482543972</v>
      </c>
    </row>
    <row r="58" spans="2:17" hidden="1">
      <c r="Q58" s="165">
        <v>-26.973531493524405</v>
      </c>
    </row>
    <row r="59" spans="2:17" ht="15" hidden="1" thickBot="1">
      <c r="N59" s="101">
        <f>SUM(N54:N58)</f>
        <v>1723.62668283006</v>
      </c>
      <c r="O59" s="101">
        <f>SUM(O54:O58)</f>
        <v>1695.566309976133</v>
      </c>
      <c r="P59" s="101">
        <f>SUM(P54:P58)</f>
        <v>1663.1205314935889</v>
      </c>
      <c r="Q59" s="101">
        <f>SUM(Q54:Q58)</f>
        <v>1636.1470000000645</v>
      </c>
    </row>
    <row r="60" spans="2:17" hidden="1"/>
    <row r="61" spans="2:17" hidden="1"/>
    <row r="62" spans="2:17" hidden="1"/>
    <row r="63" spans="2:17" hidden="1"/>
    <row r="64" spans="2:17" hidden="1"/>
    <row r="65" spans="2:12" hidden="1"/>
    <row r="66" spans="2:12" hidden="1">
      <c r="B66" s="177" t="s">
        <v>123</v>
      </c>
      <c r="C66" s="178" t="s">
        <v>116</v>
      </c>
    </row>
    <row r="67" spans="2:12" hidden="1"/>
    <row r="68" spans="2:12" hidden="1">
      <c r="B68" s="166" t="s">
        <v>160</v>
      </c>
      <c r="C68" s="179">
        <v>258.56819704383702</v>
      </c>
      <c r="G68" s="156" t="s">
        <v>117</v>
      </c>
      <c r="H68" s="156" t="s">
        <v>118</v>
      </c>
      <c r="I68" s="156" t="s">
        <v>106</v>
      </c>
      <c r="J68" s="156" t="s">
        <v>119</v>
      </c>
      <c r="K68" s="156">
        <v>311</v>
      </c>
    </row>
    <row r="69" spans="2:12" hidden="1">
      <c r="B69" s="156" t="s">
        <v>120</v>
      </c>
      <c r="C69" s="173">
        <f>+C68</f>
        <v>258.56819704383702</v>
      </c>
      <c r="D69" s="165">
        <f>I69</f>
        <v>30.899603648679999</v>
      </c>
      <c r="G69" s="180">
        <v>230.643116080455</v>
      </c>
      <c r="H69" s="180">
        <v>261.542719729135</v>
      </c>
      <c r="I69" s="156">
        <f>+H69-G69</f>
        <v>30.899603648679999</v>
      </c>
      <c r="J69" s="95">
        <f>(1+(H69-G69)/ABS(G69))</f>
        <v>1.1339714974970305</v>
      </c>
      <c r="K69" s="156">
        <v>13</v>
      </c>
      <c r="L69" s="173"/>
    </row>
    <row r="70" spans="2:12" hidden="1">
      <c r="B70" s="156" t="s">
        <v>121</v>
      </c>
      <c r="C70" s="173">
        <f>+C69+D69-D70</f>
        <v>280.35849533998254</v>
      </c>
      <c r="D70" s="165">
        <f>-I70</f>
        <v>9.1093053525344594</v>
      </c>
      <c r="G70" s="180">
        <v>-6.0782759230000396</v>
      </c>
      <c r="H70" s="180">
        <v>-15.1875812755345</v>
      </c>
      <c r="I70" s="156">
        <f>+H70-G70</f>
        <v>-9.1093053525344594</v>
      </c>
      <c r="J70" s="95">
        <f>(1+(H70-G70)/ABS(G70))</f>
        <v>-0.49866598159275433</v>
      </c>
      <c r="K70" s="156">
        <v>-23</v>
      </c>
    </row>
    <row r="71" spans="2:12" hidden="1">
      <c r="B71" s="156" t="s">
        <v>122</v>
      </c>
      <c r="C71" s="173">
        <f>C70</f>
        <v>280.35849533998254</v>
      </c>
      <c r="D71" s="165">
        <f>I71</f>
        <v>13.11912145225989</v>
      </c>
      <c r="G71" s="180">
        <v>82.048718518405707</v>
      </c>
      <c r="H71" s="180">
        <v>95.167839970665597</v>
      </c>
      <c r="I71" s="156">
        <f>+H71-G71</f>
        <v>13.11912145225989</v>
      </c>
      <c r="J71" s="95">
        <f>(1+(H71-G71)/ABS(G71))</f>
        <v>1.1598942882857692</v>
      </c>
      <c r="K71" s="156">
        <v>-40</v>
      </c>
    </row>
    <row r="72" spans="2:12" hidden="1">
      <c r="B72" s="156" t="s">
        <v>103</v>
      </c>
      <c r="C72" s="173">
        <f>+C71+D71</f>
        <v>293.47761679224243</v>
      </c>
      <c r="D72" s="165">
        <f>I72</f>
        <v>1.7943208710448033</v>
      </c>
      <c r="G72" s="180">
        <v>-48.045361632023301</v>
      </c>
      <c r="H72" s="180">
        <v>-46.251040760978498</v>
      </c>
      <c r="I72" s="156">
        <f>+H72-G72</f>
        <v>1.7943208710448033</v>
      </c>
      <c r="J72" s="95">
        <f>(1+(H72-G72)/ABS(G72))</f>
        <v>1.0373463912039502</v>
      </c>
      <c r="K72" s="156">
        <v>14</v>
      </c>
    </row>
    <row r="73" spans="2:12" hidden="1">
      <c r="B73" s="166" t="s">
        <v>161</v>
      </c>
      <c r="C73" s="173">
        <f>+C68+I69+I70+I71+I72</f>
        <v>295.27193766328725</v>
      </c>
      <c r="D73" s="175"/>
      <c r="J73" s="95">
        <f>(1+(C73-C68)/ABS(C68))</f>
        <v>1.1419499421780304</v>
      </c>
      <c r="K73" s="166">
        <f>SUM(K68:K72)</f>
        <v>275</v>
      </c>
    </row>
    <row r="74" spans="2:12" hidden="1">
      <c r="B74" s="166"/>
      <c r="C74" s="183">
        <v>295.27191766328701</v>
      </c>
      <c r="J74" s="95">
        <f>+C73/C68</f>
        <v>1.1419499421780304</v>
      </c>
      <c r="K74" s="95"/>
    </row>
    <row r="75" spans="2:12" hidden="1">
      <c r="C75" s="184">
        <f>+C74-C73</f>
        <v>-2.0000000233721948E-5</v>
      </c>
      <c r="J75" s="95"/>
    </row>
    <row r="76" spans="2:12" hidden="1">
      <c r="C76" s="173"/>
      <c r="J76" s="102"/>
    </row>
    <row r="77" spans="2:12" hidden="1">
      <c r="C77" s="173"/>
      <c r="J77" s="102"/>
    </row>
    <row r="78" spans="2:12" hidden="1"/>
    <row r="79" spans="2:12" hidden="1"/>
    <row r="80" spans="2:12" hidden="1"/>
    <row r="81" spans="15:18" hidden="1">
      <c r="O81" s="179">
        <v>258.56819704383702</v>
      </c>
      <c r="P81" s="179">
        <v>258.56819704383702</v>
      </c>
      <c r="Q81" s="179">
        <v>258.56819704383702</v>
      </c>
      <c r="R81" s="179">
        <v>258.56819704383702</v>
      </c>
    </row>
    <row r="82" spans="15:18" hidden="1">
      <c r="O82" s="165">
        <v>30.899603648679999</v>
      </c>
      <c r="P82" s="165">
        <v>30.899603648679999</v>
      </c>
      <c r="Q82" s="165">
        <v>30.899603648679999</v>
      </c>
      <c r="R82" s="165">
        <v>30.899603648679999</v>
      </c>
    </row>
    <row r="83" spans="15:18" hidden="1">
      <c r="P83" s="165">
        <v>-9.1093053525344594</v>
      </c>
      <c r="Q83" s="165">
        <v>-9.1093053525344594</v>
      </c>
      <c r="R83" s="165">
        <v>-9.1093053525344594</v>
      </c>
    </row>
    <row r="84" spans="15:18" hidden="1">
      <c r="Q84" s="165">
        <v>13.11912145225989</v>
      </c>
      <c r="R84" s="165">
        <v>13.11912145225989</v>
      </c>
    </row>
    <row r="85" spans="15:18" hidden="1">
      <c r="R85" s="165">
        <v>1.7943208710448033</v>
      </c>
    </row>
    <row r="86" spans="15:18" ht="15" hidden="1" thickBot="1">
      <c r="O86" s="101">
        <f>SUM(O81:O85)</f>
        <v>289.46780069251702</v>
      </c>
      <c r="P86" s="101">
        <f>SUM(P81:P85)</f>
        <v>280.35849533998254</v>
      </c>
      <c r="Q86" s="101">
        <f>SUM(Q81:Q85)</f>
        <v>293.47761679224243</v>
      </c>
      <c r="R86" s="101">
        <f>SUM(R81:R85)</f>
        <v>295.27193766328725</v>
      </c>
    </row>
    <row r="87" spans="15:18" hidden="1"/>
    <row r="88" spans="15:18" hidden="1"/>
    <row r="89" spans="15:18" hidden="1"/>
    <row r="90" spans="15:18" hidden="1"/>
    <row r="91" spans="15:18" hidden="1"/>
    <row r="92" spans="15:18" hidden="1"/>
    <row r="93" spans="15:18" hidden="1"/>
    <row r="94" spans="15:18" hidden="1"/>
    <row r="98" spans="10:10">
      <c r="J98" s="166"/>
    </row>
  </sheetData>
  <pageMargins left="0.7" right="0.7" top="0.75" bottom="0.75" header="0.3" footer="0.3"/>
  <pageSetup orientation="portrait" r:id="rId1"/>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tabColor rgb="FF002060"/>
  </sheetPr>
  <dimension ref="B2:R104"/>
  <sheetViews>
    <sheetView showGridLines="0" zoomScaleNormal="100" workbookViewId="0">
      <selection activeCell="P9" sqref="P9"/>
    </sheetView>
  </sheetViews>
  <sheetFormatPr baseColWidth="10" defaultColWidth="11.36328125" defaultRowHeight="14.5"/>
  <cols>
    <col min="1" max="1" width="10.08984375" style="156" customWidth="1"/>
    <col min="2" max="2" width="25.36328125" style="156" customWidth="1"/>
    <col min="3" max="3" width="9.6328125" style="156" customWidth="1"/>
    <col min="4" max="4" width="9.26953125" style="156" bestFit="1" customWidth="1"/>
    <col min="5" max="5" width="16.26953125" style="156" bestFit="1" customWidth="1"/>
    <col min="6" max="6" width="11.36328125" style="156"/>
    <col min="7" max="7" width="18.08984375" style="156" customWidth="1"/>
    <col min="8" max="8" width="22.08984375" style="156" customWidth="1"/>
    <col min="9" max="9" width="15.6328125" style="156" bestFit="1" customWidth="1"/>
    <col min="10" max="11" width="11.6328125" style="156" bestFit="1" customWidth="1"/>
    <col min="12" max="12" width="10.36328125" style="156" customWidth="1"/>
    <col min="13" max="13" width="11.36328125" style="156"/>
    <col min="14" max="14" width="11.08984375" style="156" customWidth="1"/>
    <col min="15" max="15" width="8.7265625" style="156" bestFit="1" customWidth="1"/>
    <col min="16" max="16" width="8.08984375" style="156" customWidth="1"/>
    <col min="17" max="17" width="7.26953125" style="156" bestFit="1" customWidth="1"/>
    <col min="18" max="18" width="7.26953125" style="156" customWidth="1"/>
    <col min="19" max="16384" width="11.36328125" style="156"/>
  </cols>
  <sheetData>
    <row r="2" spans="2:11" ht="18.5">
      <c r="B2" s="154" t="s">
        <v>125</v>
      </c>
      <c r="C2" s="155"/>
      <c r="D2" s="155"/>
      <c r="G2" s="190">
        <f>+G3-G4</f>
        <v>0</v>
      </c>
    </row>
    <row r="3" spans="2:11">
      <c r="B3" s="186"/>
      <c r="C3" s="178"/>
      <c r="G3" s="157"/>
      <c r="H3" s="157"/>
      <c r="I3" s="157"/>
    </row>
    <row r="4" spans="2:11">
      <c r="B4" s="186"/>
      <c r="C4" s="178"/>
      <c r="G4" s="157"/>
      <c r="H4" s="157">
        <v>1000000000</v>
      </c>
    </row>
    <row r="5" spans="2:11">
      <c r="B5" s="186"/>
      <c r="C5" s="178"/>
      <c r="G5" s="157"/>
      <c r="H5" s="157"/>
      <c r="K5" s="105"/>
    </row>
    <row r="6" spans="2:11">
      <c r="B6" s="186"/>
      <c r="C6" s="178"/>
      <c r="K6" s="105"/>
    </row>
    <row r="7" spans="2:11">
      <c r="B7" s="166"/>
      <c r="G7" s="158" t="s">
        <v>126</v>
      </c>
      <c r="K7" s="106"/>
    </row>
    <row r="8" spans="2:11" ht="22.5" customHeight="1">
      <c r="B8" s="159" t="s">
        <v>203</v>
      </c>
      <c r="C8" s="91">
        <f>+G16</f>
        <v>105928.67164474119</v>
      </c>
      <c r="D8" s="91"/>
      <c r="G8" s="160" t="s">
        <v>197</v>
      </c>
      <c r="H8" s="160" t="s">
        <v>198</v>
      </c>
      <c r="I8" s="161" t="s">
        <v>106</v>
      </c>
      <c r="K8" s="106"/>
    </row>
    <row r="9" spans="2:11" ht="15" customHeight="1">
      <c r="B9" s="156" t="s">
        <v>107</v>
      </c>
      <c r="C9" s="187">
        <f>+C8-D9</f>
        <v>57623.864076536011</v>
      </c>
      <c r="D9" s="191">
        <f>-I9</f>
        <v>48304.807568205179</v>
      </c>
      <c r="G9" s="157">
        <v>11752.785486094102</v>
      </c>
      <c r="H9" s="157">
        <v>-36552.022082111078</v>
      </c>
      <c r="I9" s="125">
        <f t="shared" ref="I9:I15" si="0">+H9-G9</f>
        <v>-48304.807568205179</v>
      </c>
      <c r="K9" s="106"/>
    </row>
    <row r="10" spans="2:11">
      <c r="B10" s="156" t="s">
        <v>108</v>
      </c>
      <c r="C10" s="187">
        <f>+C9+D9</f>
        <v>105928.67164474119</v>
      </c>
      <c r="D10" s="192">
        <f>I10</f>
        <v>17138.029284696582</v>
      </c>
      <c r="G10" s="157">
        <v>-10715.209766705873</v>
      </c>
      <c r="H10" s="157">
        <v>6422.8195179907098</v>
      </c>
      <c r="I10" s="125">
        <f t="shared" si="0"/>
        <v>17138.029284696582</v>
      </c>
      <c r="K10" s="106"/>
    </row>
    <row r="11" spans="2:11">
      <c r="B11" s="156" t="s">
        <v>109</v>
      </c>
      <c r="C11" s="187">
        <f>+C10+D10</f>
        <v>123066.70092943776</v>
      </c>
      <c r="D11" s="192">
        <f>I11</f>
        <v>8263.3973669022726</v>
      </c>
      <c r="G11" s="157">
        <v>-497.230525</v>
      </c>
      <c r="H11" s="157">
        <v>7766.1668419022726</v>
      </c>
      <c r="I11" s="125">
        <f t="shared" si="0"/>
        <v>8263.3973669022726</v>
      </c>
      <c r="K11" s="106"/>
    </row>
    <row r="12" spans="2:11">
      <c r="B12" s="156" t="s">
        <v>110</v>
      </c>
      <c r="C12" s="187">
        <f>+C11+D11-D12</f>
        <v>101939.15603234003</v>
      </c>
      <c r="D12" s="191">
        <f>-I12</f>
        <v>29390.942264000001</v>
      </c>
      <c r="G12" s="157">
        <v>-395.97735799999998</v>
      </c>
      <c r="H12" s="157">
        <v>-29786.919622000001</v>
      </c>
      <c r="I12" s="125">
        <f t="shared" si="0"/>
        <v>-29390.942264000001</v>
      </c>
      <c r="K12" s="106"/>
    </row>
    <row r="13" spans="2:11">
      <c r="B13" s="156" t="s">
        <v>159</v>
      </c>
      <c r="C13" s="187">
        <f>+C12+D12</f>
        <v>131330.09829634003</v>
      </c>
      <c r="D13" s="192">
        <f>I13</f>
        <v>15995.513644182389</v>
      </c>
      <c r="G13" s="157">
        <v>26221.785820176567</v>
      </c>
      <c r="H13" s="157">
        <v>42217.299464358955</v>
      </c>
      <c r="I13" s="125">
        <f t="shared" si="0"/>
        <v>15995.513644182389</v>
      </c>
      <c r="K13" s="106"/>
    </row>
    <row r="14" spans="2:11">
      <c r="B14" s="156" t="s">
        <v>111</v>
      </c>
      <c r="C14" s="187">
        <f>+C13-D14+D13</f>
        <v>134578.17549493548</v>
      </c>
      <c r="D14" s="191">
        <f>-I14</f>
        <v>12747.436445586936</v>
      </c>
      <c r="E14" s="174"/>
      <c r="F14" s="174"/>
      <c r="G14" s="157">
        <v>-76535.812957468195</v>
      </c>
      <c r="H14" s="157">
        <v>-89283.249403055132</v>
      </c>
      <c r="I14" s="125">
        <f t="shared" si="0"/>
        <v>-12747.436445586936</v>
      </c>
      <c r="K14" s="106"/>
    </row>
    <row r="15" spans="2:11">
      <c r="B15" s="156" t="s">
        <v>162</v>
      </c>
      <c r="C15" s="187">
        <f>+C14+D14</f>
        <v>147325.61194052242</v>
      </c>
      <c r="D15" s="192">
        <f>+I15</f>
        <v>63797.492500355409</v>
      </c>
      <c r="G15" s="157">
        <v>156098.33094564459</v>
      </c>
      <c r="H15" s="157">
        <v>219895.82344599999</v>
      </c>
      <c r="I15" s="125">
        <f t="shared" si="0"/>
        <v>63797.492500355409</v>
      </c>
      <c r="K15" s="106"/>
    </row>
    <row r="16" spans="2:11">
      <c r="B16" s="159" t="s">
        <v>204</v>
      </c>
      <c r="C16" s="104">
        <f>+C8-D9+D10+D11-D12+D13-D14+D15</f>
        <v>120679.91816308572</v>
      </c>
      <c r="D16" s="93"/>
      <c r="G16" s="94">
        <f>SUM(G9:G15)</f>
        <v>105928.67164474119</v>
      </c>
      <c r="H16" s="94">
        <f>SUM(H9:H15)</f>
        <v>120679.91816308572</v>
      </c>
      <c r="I16" s="189">
        <f>SUM(I9:I15)</f>
        <v>14751.246518344531</v>
      </c>
      <c r="K16" s="107"/>
    </row>
    <row r="17" spans="2:17">
      <c r="B17" s="159" t="s">
        <v>200</v>
      </c>
      <c r="C17" s="157">
        <v>9553.4413309173578</v>
      </c>
      <c r="D17" s="91"/>
      <c r="E17" s="91"/>
      <c r="F17" s="91"/>
      <c r="G17" s="91"/>
      <c r="H17" s="91"/>
      <c r="I17" s="91"/>
      <c r="J17" s="91"/>
      <c r="K17" s="108"/>
      <c r="M17" s="169" t="s">
        <v>112</v>
      </c>
    </row>
    <row r="18" spans="2:17" ht="15.5">
      <c r="C18" s="95"/>
      <c r="D18" s="165"/>
      <c r="G18" s="99"/>
      <c r="H18" s="96"/>
      <c r="I18" s="99"/>
      <c r="J18" s="99"/>
      <c r="K18" s="106"/>
      <c r="M18" s="171" t="s">
        <v>113</v>
      </c>
      <c r="N18" s="171" t="s">
        <v>114</v>
      </c>
    </row>
    <row r="19" spans="2:17">
      <c r="C19" s="99">
        <f>+H16</f>
        <v>120679.91816308572</v>
      </c>
      <c r="E19" s="163"/>
      <c r="G19" s="99"/>
      <c r="H19" s="99"/>
      <c r="I19" s="99"/>
      <c r="J19" s="99"/>
      <c r="K19" s="106"/>
      <c r="M19" s="97">
        <f>IF(G16&lt;0,-((H16/G16)-1),(H16/G16)-1)*100</f>
        <v>13.925640989643107</v>
      </c>
      <c r="N19" s="97">
        <f>IF(ISERR(1+(H16-C17)/ABS(C17)),"N/A",1+(H16-C17)/ABS(C17))*100</f>
        <v>1263.2088687511475</v>
      </c>
    </row>
    <row r="20" spans="2:17">
      <c r="C20" s="99">
        <f>+C16-C19</f>
        <v>0</v>
      </c>
      <c r="D20" s="165"/>
      <c r="G20" s="99"/>
      <c r="H20" s="109">
        <f>105929-48305+17138+8263-29391+15996-12747+63797</f>
        <v>120680</v>
      </c>
      <c r="I20" s="99"/>
      <c r="J20" s="99"/>
      <c r="M20" s="193"/>
    </row>
    <row r="21" spans="2:17">
      <c r="B21" s="190"/>
      <c r="C21" s="173"/>
      <c r="D21" s="165"/>
      <c r="G21" s="99"/>
      <c r="H21" s="99">
        <f>+H16-H20</f>
        <v>-8.1836914279847406E-2</v>
      </c>
      <c r="I21" s="99"/>
      <c r="J21" s="99"/>
    </row>
    <row r="22" spans="2:17">
      <c r="C22" s="173"/>
      <c r="D22" s="165"/>
      <c r="G22" s="99"/>
      <c r="H22" s="99"/>
      <c r="I22" s="99"/>
      <c r="J22" s="99"/>
    </row>
    <row r="23" spans="2:17">
      <c r="G23" s="99"/>
      <c r="H23" s="99"/>
      <c r="I23" s="99"/>
      <c r="J23" s="99"/>
    </row>
    <row r="25" spans="2:17">
      <c r="N25" s="176"/>
      <c r="O25" s="176"/>
      <c r="P25" s="176"/>
      <c r="Q25" s="176"/>
    </row>
    <row r="26" spans="2:17">
      <c r="N26" s="98"/>
      <c r="O26" s="98"/>
      <c r="P26" s="98"/>
      <c r="Q26" s="98"/>
    </row>
    <row r="27" spans="2:17">
      <c r="N27" s="98"/>
      <c r="P27" s="98"/>
      <c r="Q27" s="98"/>
    </row>
    <row r="28" spans="2:17">
      <c r="N28" s="98"/>
      <c r="O28" s="98"/>
      <c r="P28" s="98"/>
      <c r="Q28" s="98"/>
    </row>
    <row r="29" spans="2:17">
      <c r="N29" s="98"/>
      <c r="O29" s="98"/>
      <c r="P29" s="98"/>
      <c r="Q29" s="98"/>
    </row>
    <row r="30" spans="2:17">
      <c r="N30" s="98"/>
      <c r="O30" s="98"/>
      <c r="P30" s="98"/>
      <c r="Q30" s="98"/>
    </row>
    <row r="31" spans="2:17">
      <c r="N31" s="98"/>
      <c r="O31" s="98"/>
      <c r="P31" s="98"/>
      <c r="Q31" s="98"/>
    </row>
    <row r="32" spans="2:17">
      <c r="N32" s="98"/>
      <c r="O32" s="98"/>
      <c r="P32" s="98"/>
      <c r="Q32" s="98"/>
    </row>
    <row r="33" spans="2:17">
      <c r="N33" s="98"/>
      <c r="O33" s="98"/>
      <c r="P33" s="98"/>
      <c r="Q33" s="98"/>
    </row>
    <row r="44" spans="2:17" hidden="1">
      <c r="B44" s="177" t="s">
        <v>115</v>
      </c>
      <c r="C44" s="178" t="s">
        <v>116</v>
      </c>
    </row>
    <row r="45" spans="2:17" hidden="1"/>
    <row r="46" spans="2:17" hidden="1">
      <c r="B46" s="166" t="s">
        <v>160</v>
      </c>
      <c r="C46" s="179">
        <v>1670.7905559040601</v>
      </c>
      <c r="G46" s="156" t="s">
        <v>117</v>
      </c>
      <c r="H46" s="156" t="s">
        <v>118</v>
      </c>
      <c r="I46" s="156" t="s">
        <v>106</v>
      </c>
      <c r="J46" s="156" t="s">
        <v>119</v>
      </c>
      <c r="K46" s="156">
        <v>1639</v>
      </c>
    </row>
    <row r="47" spans="2:17" hidden="1">
      <c r="B47" s="156" t="s">
        <v>120</v>
      </c>
      <c r="C47" s="173">
        <f>C46</f>
        <v>1670.7905559040601</v>
      </c>
      <c r="D47" s="165">
        <f>I47</f>
        <v>52.83612692600002</v>
      </c>
      <c r="G47" s="180">
        <v>821.91093747000002</v>
      </c>
      <c r="H47" s="180">
        <v>874.74706439600004</v>
      </c>
      <c r="I47" s="156">
        <f>+H47-G47</f>
        <v>52.83612692600002</v>
      </c>
      <c r="J47" s="95">
        <f>(1+(H47-G47)/ABS(G47))</f>
        <v>1.0642844918071535</v>
      </c>
      <c r="K47" s="156">
        <v>-59</v>
      </c>
      <c r="L47" s="165"/>
      <c r="M47" s="173"/>
    </row>
    <row r="48" spans="2:17" hidden="1">
      <c r="B48" s="156" t="s">
        <v>121</v>
      </c>
      <c r="C48" s="173">
        <f>+C47+D47-D48</f>
        <v>1695.566309976133</v>
      </c>
      <c r="D48" s="165">
        <f>-I48</f>
        <v>28.060372853927049</v>
      </c>
      <c r="G48" s="180">
        <v>364.62711345000002</v>
      </c>
      <c r="H48" s="180">
        <v>336.56674059607298</v>
      </c>
      <c r="I48" s="156">
        <f>+H48-G48</f>
        <v>-28.060372853927049</v>
      </c>
      <c r="J48" s="95">
        <f>(1+(H48-G48)/ABS(G48))</f>
        <v>0.92304364700576536</v>
      </c>
      <c r="K48" s="156">
        <v>-52</v>
      </c>
      <c r="L48" s="165"/>
    </row>
    <row r="49" spans="2:17" hidden="1">
      <c r="B49" s="156" t="s">
        <v>122</v>
      </c>
      <c r="C49" s="173">
        <f>+C48-D49</f>
        <v>1663.1205314935889</v>
      </c>
      <c r="D49" s="165">
        <f>-I49</f>
        <v>32.445778482543972</v>
      </c>
      <c r="G49" s="180">
        <v>411.80162351856097</v>
      </c>
      <c r="H49" s="180">
        <v>379.355845036017</v>
      </c>
      <c r="I49" s="156">
        <f>+H49-G49</f>
        <v>-32.445778482543972</v>
      </c>
      <c r="J49" s="95">
        <f>(1+(H49-G49)/ABS(G49))</f>
        <v>0.92121017346819289</v>
      </c>
      <c r="K49" s="156">
        <v>-51</v>
      </c>
      <c r="L49" s="165"/>
    </row>
    <row r="50" spans="2:17" hidden="1">
      <c r="B50" s="156" t="s">
        <v>103</v>
      </c>
      <c r="C50" s="173">
        <f>C49-D50</f>
        <v>1636.1470000000645</v>
      </c>
      <c r="D50" s="165">
        <f>-I50</f>
        <v>26.973531493524405</v>
      </c>
      <c r="G50" s="180">
        <v>72.450881465500004</v>
      </c>
      <c r="H50" s="180">
        <v>45.477349971975599</v>
      </c>
      <c r="I50" s="156">
        <f>+H50-G50</f>
        <v>-26.973531493524405</v>
      </c>
      <c r="J50" s="95">
        <f>(1+(H50-G50)/ABS(G50))</f>
        <v>0.6276990569622154</v>
      </c>
      <c r="K50" s="156">
        <v>-4</v>
      </c>
      <c r="L50" s="165"/>
    </row>
    <row r="51" spans="2:17" hidden="1">
      <c r="B51" s="166" t="s">
        <v>161</v>
      </c>
      <c r="C51" s="181">
        <f>+C46+I47+I48+I49+I50</f>
        <v>1636.1470000000645</v>
      </c>
      <c r="D51" s="175"/>
      <c r="J51" s="95">
        <f>(1+(C51-C46)/ABS(C46))</f>
        <v>0.97926517133965363</v>
      </c>
      <c r="K51" s="166">
        <f>SUM(K46:K50)</f>
        <v>1473</v>
      </c>
    </row>
    <row r="52" spans="2:17" hidden="1">
      <c r="B52" s="166"/>
      <c r="C52" s="179">
        <v>1636.14700000007</v>
      </c>
      <c r="J52" s="95">
        <f>+C51/C46</f>
        <v>0.97926517133965363</v>
      </c>
    </row>
    <row r="53" spans="2:17" hidden="1">
      <c r="C53" s="182">
        <f>+C52-C51</f>
        <v>5.4569682106375694E-12</v>
      </c>
      <c r="J53" s="100"/>
    </row>
    <row r="54" spans="2:17" hidden="1"/>
    <row r="55" spans="2:17" hidden="1"/>
    <row r="56" spans="2:17" hidden="1">
      <c r="N56" s="179">
        <v>1670.7905559040601</v>
      </c>
      <c r="O56" s="179">
        <v>1670.7905559040601</v>
      </c>
      <c r="P56" s="179">
        <v>1670.7905559040601</v>
      </c>
      <c r="Q56" s="179">
        <v>1670.7905559040601</v>
      </c>
    </row>
    <row r="57" spans="2:17" hidden="1">
      <c r="N57" s="165">
        <v>52.83612692600002</v>
      </c>
      <c r="O57" s="165">
        <v>52.83612692600002</v>
      </c>
      <c r="P57" s="165">
        <v>52.83612692600002</v>
      </c>
      <c r="Q57" s="165">
        <v>52.83612692600002</v>
      </c>
    </row>
    <row r="58" spans="2:17" hidden="1">
      <c r="O58" s="165">
        <v>-28.060372853927049</v>
      </c>
      <c r="P58" s="165">
        <v>-28.060372853927049</v>
      </c>
      <c r="Q58" s="165">
        <v>-28.060372853927049</v>
      </c>
    </row>
    <row r="59" spans="2:17" hidden="1">
      <c r="P59" s="165">
        <v>-32.445778482543972</v>
      </c>
      <c r="Q59" s="165">
        <v>-32.445778482543972</v>
      </c>
    </row>
    <row r="60" spans="2:17" hidden="1">
      <c r="Q60" s="165">
        <v>-26.973531493524405</v>
      </c>
    </row>
    <row r="61" spans="2:17" ht="15" hidden="1" thickBot="1">
      <c r="N61" s="101">
        <f>SUM(N56:N60)</f>
        <v>1723.62668283006</v>
      </c>
      <c r="O61" s="101">
        <f>SUM(O56:O60)</f>
        <v>1695.566309976133</v>
      </c>
      <c r="P61" s="101">
        <f>SUM(P56:P60)</f>
        <v>1663.1205314935889</v>
      </c>
      <c r="Q61" s="101">
        <f>SUM(Q56:Q60)</f>
        <v>1636.1470000000645</v>
      </c>
    </row>
    <row r="62" spans="2:17" hidden="1"/>
    <row r="63" spans="2:17" hidden="1"/>
    <row r="64" spans="2:17" hidden="1"/>
    <row r="65" spans="2:12" hidden="1"/>
    <row r="66" spans="2:12" hidden="1"/>
    <row r="67" spans="2:12" hidden="1"/>
    <row r="68" spans="2:12" hidden="1">
      <c r="B68" s="177" t="s">
        <v>123</v>
      </c>
      <c r="C68" s="178" t="s">
        <v>116</v>
      </c>
    </row>
    <row r="69" spans="2:12" hidden="1"/>
    <row r="70" spans="2:12" hidden="1">
      <c r="B70" s="166" t="s">
        <v>160</v>
      </c>
      <c r="C70" s="179">
        <v>258.56819704383702</v>
      </c>
      <c r="G70" s="156" t="s">
        <v>117</v>
      </c>
      <c r="H70" s="156" t="s">
        <v>118</v>
      </c>
      <c r="I70" s="156" t="s">
        <v>106</v>
      </c>
      <c r="J70" s="156" t="s">
        <v>119</v>
      </c>
      <c r="K70" s="156">
        <v>311</v>
      </c>
    </row>
    <row r="71" spans="2:12" hidden="1">
      <c r="B71" s="156" t="s">
        <v>120</v>
      </c>
      <c r="C71" s="173">
        <f>+C70</f>
        <v>258.56819704383702</v>
      </c>
      <c r="D71" s="165">
        <f>I71</f>
        <v>30.899603648679999</v>
      </c>
      <c r="G71" s="180">
        <v>230.643116080455</v>
      </c>
      <c r="H71" s="180">
        <v>261.542719729135</v>
      </c>
      <c r="I71" s="156">
        <f>+H71-G71</f>
        <v>30.899603648679999</v>
      </c>
      <c r="J71" s="95">
        <f>(1+(H71-G71)/ABS(G71))</f>
        <v>1.1339714974970305</v>
      </c>
      <c r="K71" s="156">
        <v>13</v>
      </c>
      <c r="L71" s="173"/>
    </row>
    <row r="72" spans="2:12" hidden="1">
      <c r="B72" s="156" t="s">
        <v>121</v>
      </c>
      <c r="C72" s="173">
        <f>+C71+D71-D72</f>
        <v>280.35849533998254</v>
      </c>
      <c r="D72" s="165">
        <f>-I72</f>
        <v>9.1093053525344594</v>
      </c>
      <c r="G72" s="180">
        <v>-6.0782759230000396</v>
      </c>
      <c r="H72" s="180">
        <v>-15.1875812755345</v>
      </c>
      <c r="I72" s="156">
        <f>+H72-G72</f>
        <v>-9.1093053525344594</v>
      </c>
      <c r="J72" s="95">
        <f>(1+(H72-G72)/ABS(G72))</f>
        <v>-0.49866598159275433</v>
      </c>
      <c r="K72" s="156">
        <v>-23</v>
      </c>
    </row>
    <row r="73" spans="2:12" hidden="1">
      <c r="B73" s="156" t="s">
        <v>122</v>
      </c>
      <c r="C73" s="173">
        <f>C72</f>
        <v>280.35849533998254</v>
      </c>
      <c r="D73" s="165">
        <f>I73</f>
        <v>13.11912145225989</v>
      </c>
      <c r="G73" s="180">
        <v>82.048718518405707</v>
      </c>
      <c r="H73" s="180">
        <v>95.167839970665597</v>
      </c>
      <c r="I73" s="156">
        <f>+H73-G73</f>
        <v>13.11912145225989</v>
      </c>
      <c r="J73" s="95">
        <f>(1+(H73-G73)/ABS(G73))</f>
        <v>1.1598942882857692</v>
      </c>
      <c r="K73" s="156">
        <v>-40</v>
      </c>
    </row>
    <row r="74" spans="2:12" hidden="1">
      <c r="B74" s="156" t="s">
        <v>103</v>
      </c>
      <c r="C74" s="173">
        <f>+C73+D73</f>
        <v>293.47761679224243</v>
      </c>
      <c r="D74" s="165">
        <f>I74</f>
        <v>1.7943208710448033</v>
      </c>
      <c r="G74" s="180">
        <v>-48.045361632023301</v>
      </c>
      <c r="H74" s="180">
        <v>-46.251040760978498</v>
      </c>
      <c r="I74" s="156">
        <f>+H74-G74</f>
        <v>1.7943208710448033</v>
      </c>
      <c r="J74" s="95">
        <f>(1+(H74-G74)/ABS(G74))</f>
        <v>1.0373463912039502</v>
      </c>
      <c r="K74" s="156">
        <v>14</v>
      </c>
    </row>
    <row r="75" spans="2:12" hidden="1">
      <c r="B75" s="166" t="s">
        <v>161</v>
      </c>
      <c r="C75" s="173">
        <f>+C70+I71+I72+I73+I74</f>
        <v>295.27193766328725</v>
      </c>
      <c r="D75" s="175"/>
      <c r="J75" s="95">
        <f>(1+(C75-C70)/ABS(C70))</f>
        <v>1.1419499421780304</v>
      </c>
      <c r="K75" s="166">
        <f>SUM(K70:K74)</f>
        <v>275</v>
      </c>
    </row>
    <row r="76" spans="2:12" hidden="1">
      <c r="B76" s="166"/>
      <c r="C76" s="183">
        <v>295.27191766328701</v>
      </c>
      <c r="J76" s="95">
        <f>+C75/C70</f>
        <v>1.1419499421780304</v>
      </c>
      <c r="K76" s="95"/>
    </row>
    <row r="77" spans="2:12" hidden="1">
      <c r="C77" s="184">
        <f>+C76-C75</f>
        <v>-2.0000000233721948E-5</v>
      </c>
      <c r="J77" s="95"/>
    </row>
    <row r="78" spans="2:12" hidden="1">
      <c r="C78" s="173"/>
      <c r="J78" s="102"/>
    </row>
    <row r="79" spans="2:12" hidden="1">
      <c r="C79" s="173"/>
      <c r="J79" s="102"/>
    </row>
    <row r="80" spans="2:12" hidden="1"/>
    <row r="81" spans="15:18" hidden="1"/>
    <row r="82" spans="15:18" hidden="1"/>
    <row r="83" spans="15:18" hidden="1">
      <c r="O83" s="179">
        <v>258.56819704383702</v>
      </c>
      <c r="P83" s="179">
        <v>258.56819704383702</v>
      </c>
      <c r="Q83" s="179">
        <v>258.56819704383702</v>
      </c>
      <c r="R83" s="179">
        <v>258.56819704383702</v>
      </c>
    </row>
    <row r="84" spans="15:18" hidden="1">
      <c r="O84" s="165">
        <v>30.899603648679999</v>
      </c>
      <c r="P84" s="165">
        <v>30.899603648679999</v>
      </c>
      <c r="Q84" s="165">
        <v>30.899603648679999</v>
      </c>
      <c r="R84" s="165">
        <v>30.899603648679999</v>
      </c>
    </row>
    <row r="85" spans="15:18" hidden="1">
      <c r="P85" s="165">
        <v>-9.1093053525344594</v>
      </c>
      <c r="Q85" s="165">
        <v>-9.1093053525344594</v>
      </c>
      <c r="R85" s="165">
        <v>-9.1093053525344594</v>
      </c>
    </row>
    <row r="86" spans="15:18" hidden="1">
      <c r="Q86" s="165">
        <v>13.11912145225989</v>
      </c>
      <c r="R86" s="165">
        <v>13.11912145225989</v>
      </c>
    </row>
    <row r="87" spans="15:18" hidden="1">
      <c r="R87" s="165">
        <v>1.7943208710448033</v>
      </c>
    </row>
    <row r="88" spans="15:18" ht="15" hidden="1" thickBot="1">
      <c r="O88" s="101">
        <f>SUM(O83:O87)</f>
        <v>289.46780069251702</v>
      </c>
      <c r="P88" s="101">
        <f>SUM(P83:P87)</f>
        <v>280.35849533998254</v>
      </c>
      <c r="Q88" s="101">
        <f>SUM(Q83:Q87)</f>
        <v>293.47761679224243</v>
      </c>
      <c r="R88" s="101">
        <f>SUM(R83:R87)</f>
        <v>295.27193766328725</v>
      </c>
    </row>
    <row r="89" spans="15:18" hidden="1"/>
    <row r="90" spans="15:18" hidden="1"/>
    <row r="91" spans="15:18" hidden="1"/>
    <row r="92" spans="15:18" hidden="1"/>
    <row r="93" spans="15:18" hidden="1"/>
    <row r="94" spans="15:18" hidden="1"/>
    <row r="95" spans="15:18" hidden="1"/>
    <row r="96" spans="15:18" hidden="1"/>
    <row r="97" spans="10:10">
      <c r="J97"/>
    </row>
    <row r="104" spans="10:10">
      <c r="J104" s="166"/>
    </row>
  </sheetData>
  <pageMargins left="0.7" right="0.7" top="0.75" bottom="0.75" header="0.3" footer="0.3"/>
  <pageSetup orientation="portrait" r:id="rId1"/>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D914A-45DC-4EE7-ACE5-A86D3DC96F55}">
  <dimension ref="A1:E67"/>
  <sheetViews>
    <sheetView showGridLines="0" topLeftCell="A57" zoomScaleNormal="100" workbookViewId="0">
      <selection activeCell="B9" sqref="B9"/>
    </sheetView>
  </sheetViews>
  <sheetFormatPr baseColWidth="10" defaultRowHeight="12.5"/>
  <cols>
    <col min="1" max="1" width="62.90625" bestFit="1" customWidth="1"/>
    <col min="2" max="2" width="13.7265625" customWidth="1"/>
  </cols>
  <sheetData>
    <row r="1" spans="1:5" ht="23">
      <c r="A1" s="275" t="s">
        <v>336</v>
      </c>
    </row>
    <row r="2" spans="1:5" ht="15">
      <c r="A2" s="322" t="s">
        <v>337</v>
      </c>
    </row>
    <row r="3" spans="1:5" ht="13.5">
      <c r="A3" s="276" t="s">
        <v>381</v>
      </c>
    </row>
    <row r="4" spans="1:5" ht="13" thickBot="1"/>
    <row r="5" spans="1:5" ht="13" thickBot="1">
      <c r="A5" s="321"/>
      <c r="B5" s="318">
        <v>2023</v>
      </c>
      <c r="C5" s="290">
        <v>2022</v>
      </c>
    </row>
    <row r="6" spans="1:5" ht="13" thickBot="1">
      <c r="A6" s="277" t="s">
        <v>188</v>
      </c>
      <c r="B6" s="278"/>
      <c r="C6" s="279"/>
    </row>
    <row r="7" spans="1:5" ht="13" thickBot="1">
      <c r="A7" s="280" t="s">
        <v>382</v>
      </c>
      <c r="B7" s="295">
        <v>789341</v>
      </c>
      <c r="C7" s="296">
        <v>345789</v>
      </c>
      <c r="D7" s="337"/>
      <c r="E7" s="337"/>
    </row>
    <row r="8" spans="1:5" ht="13.5" thickTop="1" thickBot="1">
      <c r="A8" s="281" t="s">
        <v>163</v>
      </c>
      <c r="B8" s="298"/>
      <c r="C8" s="297"/>
    </row>
    <row r="9" spans="1:5">
      <c r="A9" s="294" t="s">
        <v>309</v>
      </c>
      <c r="B9" s="299">
        <v>-251927</v>
      </c>
      <c r="C9" s="300">
        <v>-143615</v>
      </c>
    </row>
    <row r="10" spans="1:5">
      <c r="A10" s="282" t="s">
        <v>341</v>
      </c>
      <c r="B10" s="301">
        <v>46453</v>
      </c>
      <c r="C10" s="302">
        <v>11005</v>
      </c>
    </row>
    <row r="11" spans="1:5">
      <c r="A11" s="282" t="s">
        <v>364</v>
      </c>
      <c r="B11" s="301">
        <v>-502214</v>
      </c>
      <c r="C11" s="302">
        <v>-337881</v>
      </c>
    </row>
    <row r="12" spans="1:5">
      <c r="A12" s="282" t="s">
        <v>262</v>
      </c>
      <c r="B12" s="301">
        <v>113596</v>
      </c>
      <c r="C12" s="302">
        <v>74632</v>
      </c>
    </row>
    <row r="13" spans="1:5">
      <c r="A13" s="282" t="s">
        <v>383</v>
      </c>
      <c r="B13" s="309">
        <v>-103</v>
      </c>
      <c r="C13" s="303">
        <v>750</v>
      </c>
    </row>
    <row r="14" spans="1:5">
      <c r="A14" s="282" t="s">
        <v>384</v>
      </c>
      <c r="B14" s="301">
        <v>-256540</v>
      </c>
      <c r="C14" s="303">
        <v>-2</v>
      </c>
    </row>
    <row r="15" spans="1:5">
      <c r="A15" s="282" t="s">
        <v>291</v>
      </c>
      <c r="B15" s="301">
        <v>-72241</v>
      </c>
      <c r="C15" s="302">
        <v>-88272</v>
      </c>
    </row>
    <row r="16" spans="1:5">
      <c r="A16" s="283" t="s">
        <v>165</v>
      </c>
      <c r="B16" s="301">
        <v>2430</v>
      </c>
      <c r="C16" s="302">
        <v>13858</v>
      </c>
    </row>
    <row r="17" spans="1:3">
      <c r="A17" s="283" t="s">
        <v>329</v>
      </c>
      <c r="B17" s="309">
        <v>323</v>
      </c>
      <c r="C17" s="303">
        <v>595</v>
      </c>
    </row>
    <row r="18" spans="1:3">
      <c r="A18" s="283" t="s">
        <v>241</v>
      </c>
      <c r="B18" s="309">
        <v>328</v>
      </c>
      <c r="C18" s="303" t="s">
        <v>184</v>
      </c>
    </row>
    <row r="19" spans="1:3">
      <c r="A19" s="282" t="s">
        <v>365</v>
      </c>
      <c r="B19" s="301">
        <v>23067</v>
      </c>
      <c r="C19" s="302">
        <v>-3468</v>
      </c>
    </row>
    <row r="20" spans="1:3">
      <c r="A20" s="282" t="s">
        <v>310</v>
      </c>
      <c r="B20" s="301">
        <v>-5570</v>
      </c>
      <c r="C20" s="303">
        <v>-898</v>
      </c>
    </row>
    <row r="21" spans="1:3" ht="13" thickBot="1">
      <c r="A21" s="320"/>
      <c r="B21" s="304">
        <v>-113057</v>
      </c>
      <c r="C21" s="305">
        <v>-127507</v>
      </c>
    </row>
    <row r="22" spans="1:3" ht="13.5" thickTop="1" thickBot="1">
      <c r="A22" s="277" t="s">
        <v>237</v>
      </c>
      <c r="B22" s="307"/>
      <c r="C22" s="306"/>
    </row>
    <row r="23" spans="1:3">
      <c r="A23" s="282" t="s">
        <v>311</v>
      </c>
      <c r="B23" s="301">
        <v>9272</v>
      </c>
      <c r="C23" s="302">
        <v>-10507</v>
      </c>
    </row>
    <row r="24" spans="1:3">
      <c r="A24" s="282" t="s">
        <v>30</v>
      </c>
      <c r="B24" s="301">
        <v>63493</v>
      </c>
      <c r="C24" s="302">
        <v>53322</v>
      </c>
    </row>
    <row r="25" spans="1:3">
      <c r="A25" s="282" t="s">
        <v>32</v>
      </c>
      <c r="B25" s="309">
        <v>-777</v>
      </c>
      <c r="C25" s="302">
        <v>-22000</v>
      </c>
    </row>
    <row r="26" spans="1:3">
      <c r="A26" s="282" t="s">
        <v>312</v>
      </c>
      <c r="B26" s="339">
        <v>-25498</v>
      </c>
      <c r="C26" s="302">
        <v>24320</v>
      </c>
    </row>
    <row r="27" spans="1:3">
      <c r="A27" s="282" t="s">
        <v>342</v>
      </c>
      <c r="B27" s="339">
        <v>-1271</v>
      </c>
      <c r="C27" s="303">
        <v>-449</v>
      </c>
    </row>
    <row r="28" spans="1:3">
      <c r="A28" s="282" t="s">
        <v>34</v>
      </c>
      <c r="B28" s="340">
        <v>-837</v>
      </c>
      <c r="C28" s="302">
        <v>56611</v>
      </c>
    </row>
    <row r="29" spans="1:3" ht="13" thickBot="1">
      <c r="A29" s="280" t="s">
        <v>356</v>
      </c>
      <c r="B29" s="341">
        <v>-68675</v>
      </c>
      <c r="C29" s="296">
        <v>-26210</v>
      </c>
    </row>
    <row r="30" spans="1:3" ht="13" thickTop="1">
      <c r="A30" s="282" t="s">
        <v>366</v>
      </c>
      <c r="B30" s="339">
        <v>992632</v>
      </c>
      <c r="C30" s="302">
        <v>802790</v>
      </c>
    </row>
    <row r="31" spans="1:3" ht="13" thickBot="1">
      <c r="A31" s="284" t="s">
        <v>385</v>
      </c>
      <c r="B31" s="342">
        <v>-40541</v>
      </c>
      <c r="C31" s="308">
        <v>9721</v>
      </c>
    </row>
    <row r="32" spans="1:3" ht="13.5" thickTop="1" thickBot="1">
      <c r="A32" s="285" t="s">
        <v>313</v>
      </c>
      <c r="B32" s="295">
        <v>883416</v>
      </c>
      <c r="C32" s="296">
        <v>786301</v>
      </c>
    </row>
    <row r="33" spans="1:3" ht="13.5" thickTop="1" thickBot="1">
      <c r="A33" s="319"/>
      <c r="B33" s="318">
        <v>2023</v>
      </c>
      <c r="C33" s="290">
        <v>2022</v>
      </c>
    </row>
    <row r="34" spans="1:3" ht="13" thickBot="1">
      <c r="A34" s="277" t="s">
        <v>189</v>
      </c>
      <c r="B34" s="307"/>
      <c r="C34" s="306"/>
    </row>
    <row r="35" spans="1:3">
      <c r="A35" s="282" t="s">
        <v>227</v>
      </c>
      <c r="B35" s="301">
        <v>107466</v>
      </c>
      <c r="C35" s="302">
        <v>39636</v>
      </c>
    </row>
    <row r="36" spans="1:3">
      <c r="A36" s="282" t="s">
        <v>367</v>
      </c>
      <c r="B36" s="301">
        <v>-1443</v>
      </c>
      <c r="C36" s="303" t="s">
        <v>184</v>
      </c>
    </row>
    <row r="37" spans="1:3">
      <c r="A37" s="282" t="s">
        <v>373</v>
      </c>
      <c r="B37" s="309">
        <v>20</v>
      </c>
      <c r="C37" s="303" t="s">
        <v>184</v>
      </c>
    </row>
    <row r="38" spans="1:3">
      <c r="A38" s="282" t="s">
        <v>374</v>
      </c>
      <c r="B38" s="301">
        <v>-11701</v>
      </c>
      <c r="C38" s="302">
        <v>-5246</v>
      </c>
    </row>
    <row r="39" spans="1:3">
      <c r="A39" s="282" t="s">
        <v>170</v>
      </c>
      <c r="B39" s="309">
        <v>0</v>
      </c>
      <c r="C39" s="303">
        <v>800</v>
      </c>
    </row>
    <row r="40" spans="1:3">
      <c r="A40" s="282" t="s">
        <v>375</v>
      </c>
      <c r="B40" s="309">
        <v>0</v>
      </c>
      <c r="C40" s="302">
        <v>-12282</v>
      </c>
    </row>
    <row r="41" spans="1:3">
      <c r="A41" s="291" t="s">
        <v>330</v>
      </c>
      <c r="B41" s="301">
        <v>274554</v>
      </c>
      <c r="C41" s="302">
        <v>13052</v>
      </c>
    </row>
    <row r="42" spans="1:3">
      <c r="A42" s="282" t="s">
        <v>376</v>
      </c>
      <c r="B42" s="309">
        <v>0</v>
      </c>
      <c r="C42" s="303">
        <v>256</v>
      </c>
    </row>
    <row r="43" spans="1:3">
      <c r="A43" s="282" t="s">
        <v>174</v>
      </c>
      <c r="B43" s="301">
        <v>-534510</v>
      </c>
      <c r="C43" s="302">
        <v>-364571</v>
      </c>
    </row>
    <row r="44" spans="1:3">
      <c r="A44" s="282" t="s">
        <v>175</v>
      </c>
      <c r="B44" s="301">
        <v>230000</v>
      </c>
      <c r="C44" s="302">
        <v>144247</v>
      </c>
    </row>
    <row r="45" spans="1:3">
      <c r="A45" s="282" t="s">
        <v>280</v>
      </c>
      <c r="B45" s="309">
        <v>0</v>
      </c>
      <c r="C45" s="302">
        <v>-10821</v>
      </c>
    </row>
    <row r="46" spans="1:3">
      <c r="A46" s="291" t="s">
        <v>331</v>
      </c>
      <c r="B46" s="301">
        <v>7269</v>
      </c>
      <c r="C46" s="302">
        <v>17854</v>
      </c>
    </row>
    <row r="47" spans="1:3" ht="13" thickBot="1">
      <c r="A47" s="292" t="s">
        <v>224</v>
      </c>
      <c r="B47" s="312">
        <v>52</v>
      </c>
      <c r="C47" s="310">
        <v>11191</v>
      </c>
    </row>
    <row r="48" spans="1:3" ht="22.5" thickBot="1">
      <c r="A48" s="286" t="s">
        <v>386</v>
      </c>
      <c r="B48" s="304">
        <v>71707</v>
      </c>
      <c r="C48" s="305">
        <v>-165884</v>
      </c>
    </row>
    <row r="49" spans="1:3" ht="13.5" thickTop="1" thickBot="1">
      <c r="A49" s="277" t="s">
        <v>190</v>
      </c>
      <c r="B49" s="312"/>
      <c r="C49" s="311"/>
    </row>
    <row r="50" spans="1:3">
      <c r="A50" s="291" t="s">
        <v>357</v>
      </c>
      <c r="B50" s="301">
        <v>-56523</v>
      </c>
      <c r="C50" s="313" t="s">
        <v>184</v>
      </c>
    </row>
    <row r="51" spans="1:3">
      <c r="A51" s="291" t="s">
        <v>358</v>
      </c>
      <c r="B51" s="301">
        <v>-6484</v>
      </c>
      <c r="C51" s="313" t="s">
        <v>184</v>
      </c>
    </row>
    <row r="52" spans="1:3">
      <c r="A52" s="282" t="s">
        <v>332</v>
      </c>
      <c r="B52" s="309"/>
      <c r="C52" s="302">
        <v>-95107</v>
      </c>
    </row>
    <row r="53" spans="1:3">
      <c r="A53" s="282" t="s">
        <v>282</v>
      </c>
      <c r="B53" s="301">
        <v>767065</v>
      </c>
      <c r="C53" s="302">
        <v>43385</v>
      </c>
    </row>
    <row r="54" spans="1:3">
      <c r="A54" s="282" t="s">
        <v>283</v>
      </c>
      <c r="B54" s="301">
        <v>-538649</v>
      </c>
      <c r="C54" s="302">
        <v>-43756</v>
      </c>
    </row>
    <row r="55" spans="1:3">
      <c r="A55" s="282" t="s">
        <v>258</v>
      </c>
      <c r="B55" s="301">
        <v>-1845</v>
      </c>
      <c r="C55" s="302">
        <v>-1826</v>
      </c>
    </row>
    <row r="56" spans="1:3">
      <c r="A56" s="291" t="s">
        <v>327</v>
      </c>
      <c r="B56" s="301">
        <v>-54137</v>
      </c>
      <c r="C56" s="303" t="s">
        <v>184</v>
      </c>
    </row>
    <row r="57" spans="1:3">
      <c r="A57" s="291" t="s">
        <v>304</v>
      </c>
      <c r="B57" s="309">
        <v>0</v>
      </c>
      <c r="C57" s="302">
        <v>10790</v>
      </c>
    </row>
    <row r="58" spans="1:3">
      <c r="A58" s="282" t="s">
        <v>242</v>
      </c>
      <c r="B58" s="301">
        <v>-365620</v>
      </c>
      <c r="C58" s="302">
        <v>-246854</v>
      </c>
    </row>
    <row r="59" spans="1:3">
      <c r="A59" s="291" t="s">
        <v>243</v>
      </c>
      <c r="B59" s="301">
        <v>-116539</v>
      </c>
      <c r="C59" s="302">
        <v>-78630</v>
      </c>
    </row>
    <row r="60" spans="1:3">
      <c r="A60" s="282" t="s">
        <v>127</v>
      </c>
      <c r="B60" s="301">
        <v>-221338</v>
      </c>
      <c r="C60" s="302">
        <v>-152177</v>
      </c>
    </row>
    <row r="61" spans="1:3">
      <c r="A61" s="282" t="s">
        <v>320</v>
      </c>
      <c r="B61" s="309">
        <v>-180</v>
      </c>
      <c r="C61" s="303">
        <v>-30</v>
      </c>
    </row>
    <row r="62" spans="1:3" ht="13" thickBot="1">
      <c r="A62" s="286" t="s">
        <v>377</v>
      </c>
      <c r="B62" s="295">
        <v>-594250</v>
      </c>
      <c r="C62" s="296">
        <v>-564205</v>
      </c>
    </row>
    <row r="63" spans="1:3" ht="13.5" thickTop="1" thickBot="1">
      <c r="A63" s="285" t="s">
        <v>387</v>
      </c>
      <c r="B63" s="304">
        <v>360873</v>
      </c>
      <c r="C63" s="305">
        <v>56212</v>
      </c>
    </row>
    <row r="64" spans="1:3" ht="13" thickTop="1">
      <c r="A64" s="282" t="s">
        <v>315</v>
      </c>
      <c r="B64" s="301">
        <v>72319</v>
      </c>
      <c r="C64" s="302">
        <v>16237</v>
      </c>
    </row>
    <row r="65" spans="1:5" ht="23">
      <c r="A65" s="283" t="s">
        <v>316</v>
      </c>
      <c r="B65" s="301">
        <v>-22326</v>
      </c>
      <c r="C65" s="303">
        <v>-130</v>
      </c>
    </row>
    <row r="66" spans="1:5" ht="13" thickBot="1">
      <c r="A66" s="280" t="s">
        <v>333</v>
      </c>
      <c r="B66" s="295">
        <v>410866</v>
      </c>
      <c r="C66" s="296">
        <v>72319</v>
      </c>
      <c r="D66" s="338"/>
      <c r="E66" s="338"/>
    </row>
    <row r="67" spans="1:5" ht="13" thickTop="1">
      <c r="B67" s="187"/>
    </row>
  </sheetData>
  <pageMargins left="0.7" right="0.7" top="0.75" bottom="0.75" header="0.3" footer="0.3"/>
  <pageSetup paperSize="9" orientation="portrait" verticalDpi="597"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ESF GA Consol Q</vt:lpstr>
      <vt:lpstr>ER GA Consol Q</vt:lpstr>
      <vt:lpstr>ESF. GA separado Q</vt:lpstr>
      <vt:lpstr>ESF GA Separado Q </vt:lpstr>
      <vt:lpstr>ER GA separado Q</vt:lpstr>
      <vt:lpstr>INGRESOS</vt:lpstr>
      <vt:lpstr>EBITDA </vt:lpstr>
      <vt:lpstr>UTILIDAD NETA</vt:lpstr>
      <vt:lpstr>EFE GA separado</vt:lpstr>
      <vt:lpstr>EFE GA consolidado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Amparo Franco Lopez</dc:creator>
  <cp:lastModifiedBy>David Gonzalez Escobar</cp:lastModifiedBy>
  <cp:lastPrinted>2015-06-15T20:17:18Z</cp:lastPrinted>
  <dcterms:created xsi:type="dcterms:W3CDTF">2014-02-19T20:48:06Z</dcterms:created>
  <dcterms:modified xsi:type="dcterms:W3CDTF">2024-02-29T22:26:31Z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{308FD228-952F-40AF-B1D8-EF7EA429AFB6}</vt:lpwstr>
  </property>
</Properties>
</file>